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4.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drawings/drawing5.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6.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drawings/drawing7.xml" ContentType="application/vnd.openxmlformats-officedocument.drawing+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drawings/drawing8.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drawings/drawing9.xml" ContentType="application/vnd.openxmlformats-officedocument.drawing+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drawings/drawing10.xml" ContentType="application/vnd.openxmlformats-officedocument.drawing+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drawings/drawing11.xml" ContentType="application/vnd.openxmlformats-officedocument.drawing+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N9 Fleet &amp; Family Readiness\N9_Restricted\N92\N921 Fitness\1_Private_Restricted\N921D - Deployed Forces Support and Afloat\AFLOAT &amp; DFS STANDARDS\AFLOAT STANDARDS 2021\"/>
    </mc:Choice>
  </mc:AlternateContent>
  <bookViews>
    <workbookView xWindow="0" yWindow="140" windowWidth="28800" windowHeight="11870"/>
  </bookViews>
  <sheets>
    <sheet name="Introduction" sheetId="26" r:id="rId1"/>
    <sheet name="Position Descriptions" sheetId="24" r:id="rId2"/>
    <sheet name="Definitions" sheetId="39"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Qualifications'!$A$1:$G$16</definedName>
    <definedName name="_xlnm.Print_Area" localSheetId="9">'3.2 Fitness Programming'!$A$1:$G$69</definedName>
    <definedName name="_xlnm.Print_Area" localSheetId="11">'4.2 Fitness Equipment'!$A$1:$H$78</definedName>
    <definedName name="_xlnm.Print_Area" localSheetId="12">'5.1 Administration'!$A$1:$G$27</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Introduction!$B$71</definedName>
    <definedName name="shiptbl">Introduction!$A$74:$B$86</definedName>
    <definedName name="shiptypenum">Introduction!$A$71</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E97" i="10" l="1"/>
  <c r="F95" i="10" l="1"/>
  <c r="F93" i="10"/>
  <c r="F92" i="10"/>
  <c r="F89" i="10"/>
  <c r="I88" i="10"/>
  <c r="F88" i="10"/>
  <c r="E88" i="10"/>
  <c r="I87" i="10"/>
  <c r="F87" i="10"/>
  <c r="E87" i="10"/>
  <c r="I86" i="10"/>
  <c r="F86" i="10"/>
  <c r="F84" i="10"/>
  <c r="I83" i="10"/>
  <c r="F83" i="10"/>
  <c r="E83" i="10"/>
  <c r="I82" i="10"/>
  <c r="F82" i="10"/>
  <c r="E82" i="10"/>
  <c r="I81" i="10"/>
  <c r="F81" i="10"/>
  <c r="F79" i="10"/>
  <c r="F67" i="10"/>
  <c r="F65" i="10"/>
  <c r="F29" i="10"/>
  <c r="C25" i="10"/>
  <c r="C24" i="10"/>
  <c r="F23" i="10"/>
  <c r="F16" i="10"/>
  <c r="F13" i="10"/>
  <c r="F9" i="10"/>
  <c r="F8" i="10"/>
  <c r="C8" i="10"/>
  <c r="G2" i="10"/>
  <c r="J83" i="10" l="1"/>
  <c r="H82" i="10" s="1"/>
  <c r="F97" i="10"/>
  <c r="D97" i="10" s="1"/>
  <c r="AR5" i="13" s="1"/>
  <c r="J88" i="10"/>
  <c r="H87" i="10" s="1"/>
  <c r="I18" i="9"/>
  <c r="I16" i="9"/>
  <c r="I15" i="9"/>
  <c r="I14" i="9"/>
  <c r="J18" i="9" l="1"/>
  <c r="H18" i="9" s="1"/>
  <c r="J15" i="9"/>
  <c r="H15" i="9" s="1"/>
  <c r="I60" i="18" l="1"/>
  <c r="I59" i="18"/>
  <c r="I58" i="18"/>
  <c r="I57" i="18"/>
  <c r="I56" i="18"/>
  <c r="I55" i="18"/>
  <c r="I54" i="18"/>
  <c r="I53" i="18"/>
  <c r="I52" i="18"/>
  <c r="I51" i="18"/>
  <c r="I50" i="18"/>
  <c r="I49" i="18"/>
  <c r="I48" i="18"/>
  <c r="I47" i="18"/>
  <c r="I46" i="18"/>
  <c r="I40" i="18"/>
  <c r="I39" i="18"/>
  <c r="I38" i="18"/>
  <c r="I37" i="18"/>
  <c r="I36" i="18"/>
  <c r="I35" i="18"/>
  <c r="I34" i="18"/>
  <c r="I33" i="18"/>
  <c r="I32" i="18"/>
  <c r="I31" i="18"/>
  <c r="I30" i="18"/>
  <c r="I29" i="18"/>
  <c r="I28" i="18"/>
  <c r="I27" i="18"/>
  <c r="I26" i="18"/>
  <c r="I20" i="18"/>
  <c r="I19" i="18"/>
  <c r="I18" i="18"/>
  <c r="I17" i="18"/>
  <c r="I16" i="18"/>
  <c r="I15" i="18"/>
  <c r="I14" i="18"/>
  <c r="I13" i="18"/>
  <c r="I12" i="18"/>
  <c r="I11" i="18"/>
  <c r="I10" i="18"/>
  <c r="I9" i="18"/>
  <c r="I63" i="19"/>
  <c r="I62" i="19"/>
  <c r="I61" i="19"/>
  <c r="I60" i="19"/>
  <c r="I59" i="19"/>
  <c r="I58" i="19"/>
  <c r="I57" i="19"/>
  <c r="I56" i="19"/>
  <c r="I55" i="19"/>
  <c r="I54" i="19"/>
  <c r="I53" i="19"/>
  <c r="I52" i="19"/>
  <c r="I51" i="19"/>
  <c r="I50" i="19"/>
  <c r="I49" i="19"/>
  <c r="I41" i="19"/>
  <c r="I40" i="19"/>
  <c r="I39" i="19"/>
  <c r="I38" i="19"/>
  <c r="I37" i="19"/>
  <c r="I36" i="19"/>
  <c r="I35" i="19"/>
  <c r="I34" i="19"/>
  <c r="I33" i="19"/>
  <c r="I32" i="19"/>
  <c r="I31" i="19"/>
  <c r="I30" i="19"/>
  <c r="I29" i="19"/>
  <c r="I28" i="19"/>
  <c r="I27" i="19"/>
  <c r="I19" i="19"/>
  <c r="I18" i="19"/>
  <c r="I17" i="19"/>
  <c r="I16" i="19"/>
  <c r="I15" i="19"/>
  <c r="I14" i="19"/>
  <c r="I13" i="19"/>
  <c r="I12" i="19"/>
  <c r="I11" i="19"/>
  <c r="J40" i="18" l="1"/>
  <c r="H39" i="18" s="1"/>
  <c r="J54" i="19"/>
  <c r="H53" i="19" s="1"/>
  <c r="J37" i="18"/>
  <c r="H36" i="18" s="1"/>
  <c r="J48" i="18"/>
  <c r="H47" i="18" s="1"/>
  <c r="J60" i="18"/>
  <c r="H59" i="18" s="1"/>
  <c r="J57" i="18"/>
  <c r="H56" i="18" s="1"/>
  <c r="J54" i="18"/>
  <c r="H53" i="18" s="1"/>
  <c r="J51" i="18"/>
  <c r="H50" i="18" s="1"/>
  <c r="J34" i="18"/>
  <c r="H33" i="18" s="1"/>
  <c r="J31" i="18"/>
  <c r="H30" i="18" s="1"/>
  <c r="J28" i="18"/>
  <c r="H27" i="18" s="1"/>
  <c r="J20" i="18"/>
  <c r="H19" i="18" s="1"/>
  <c r="J17" i="18"/>
  <c r="H16" i="18" s="1"/>
  <c r="J14" i="18"/>
  <c r="H13" i="18" s="1"/>
  <c r="J11" i="18"/>
  <c r="H10" i="18" s="1"/>
  <c r="J63" i="19"/>
  <c r="H62" i="19" s="1"/>
  <c r="J60" i="19"/>
  <c r="H59" i="19" s="1"/>
  <c r="J57" i="19"/>
  <c r="H56" i="19" s="1"/>
  <c r="J41" i="19"/>
  <c r="H40" i="19" s="1"/>
  <c r="J38" i="19"/>
  <c r="H37" i="19" s="1"/>
  <c r="J35" i="19"/>
  <c r="H34" i="19" s="1"/>
  <c r="J32" i="19"/>
  <c r="H31" i="19" s="1"/>
  <c r="J29" i="19"/>
  <c r="H28" i="19" s="1"/>
  <c r="J19" i="19"/>
  <c r="H18" i="19" s="1"/>
  <c r="J16" i="19"/>
  <c r="H15" i="19" s="1"/>
  <c r="J13" i="19"/>
  <c r="H12" i="19" s="1"/>
  <c r="J51" i="19"/>
  <c r="H50" i="19" s="1"/>
  <c r="I9" i="19"/>
  <c r="I10" i="19"/>
  <c r="I8" i="19"/>
  <c r="J10" i="19" l="1"/>
  <c r="H9" i="19" s="1"/>
  <c r="F47" i="18"/>
  <c r="F48" i="18"/>
  <c r="F49" i="18"/>
  <c r="F50" i="18"/>
  <c r="F51" i="18"/>
  <c r="F52" i="18"/>
  <c r="F53" i="18"/>
  <c r="F54" i="18"/>
  <c r="F55" i="18"/>
  <c r="F56" i="18"/>
  <c r="F57" i="18"/>
  <c r="F58" i="18"/>
  <c r="F59" i="18"/>
  <c r="F60" i="18"/>
  <c r="F46" i="18"/>
  <c r="F27" i="18"/>
  <c r="F28" i="18"/>
  <c r="F29" i="18"/>
  <c r="F30" i="18"/>
  <c r="F31" i="18"/>
  <c r="F32" i="18"/>
  <c r="F33" i="18"/>
  <c r="F34" i="18"/>
  <c r="F35" i="18"/>
  <c r="F36" i="18"/>
  <c r="F37" i="18"/>
  <c r="F38" i="18"/>
  <c r="F39" i="18"/>
  <c r="F40" i="18"/>
  <c r="F26" i="18"/>
  <c r="F10" i="18"/>
  <c r="F11" i="18"/>
  <c r="F12" i="18"/>
  <c r="F13" i="18"/>
  <c r="F14" i="18"/>
  <c r="F15" i="18"/>
  <c r="F16" i="18"/>
  <c r="F17" i="18"/>
  <c r="F18" i="18"/>
  <c r="F19" i="18"/>
  <c r="F20" i="18"/>
  <c r="F9" i="18"/>
  <c r="F50" i="19"/>
  <c r="F51" i="19"/>
  <c r="F52" i="19"/>
  <c r="F53" i="19"/>
  <c r="F54" i="19"/>
  <c r="F55" i="19"/>
  <c r="F56" i="19"/>
  <c r="F57" i="19"/>
  <c r="F58" i="19"/>
  <c r="F59" i="19"/>
  <c r="F60" i="19"/>
  <c r="F61" i="19"/>
  <c r="F62" i="19"/>
  <c r="F63" i="19"/>
  <c r="F49" i="19"/>
  <c r="F28" i="19"/>
  <c r="F29" i="19"/>
  <c r="F30" i="19"/>
  <c r="F31" i="19"/>
  <c r="F32" i="19"/>
  <c r="F33" i="19"/>
  <c r="F34" i="19"/>
  <c r="F35" i="19"/>
  <c r="F36" i="19"/>
  <c r="F37" i="19"/>
  <c r="F38" i="19"/>
  <c r="F39" i="19"/>
  <c r="F40" i="19"/>
  <c r="F41" i="19"/>
  <c r="F27"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D68" i="13"/>
  <c r="B68" i="13"/>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D61" i="13"/>
  <c r="B61" i="13"/>
  <c r="AM60" i="13"/>
  <c r="AI60" i="13"/>
  <c r="AI71" i="13" s="1"/>
  <c r="AH60" i="13"/>
  <c r="AH71" i="13" s="1"/>
  <c r="X60" i="13"/>
  <c r="B60" i="13"/>
  <c r="D60" i="13" s="1"/>
  <c r="F52" i="13"/>
  <c r="F51" i="13"/>
  <c r="F50" i="13"/>
  <c r="F49" i="13"/>
  <c r="F48" i="13"/>
  <c r="F47" i="13"/>
  <c r="F53" i="13" l="1"/>
  <c r="D71" i="13"/>
  <c r="E67" i="19" l="1"/>
  <c r="E45" i="19"/>
  <c r="G2" i="3" l="1"/>
  <c r="E8" i="3"/>
  <c r="E9" i="3"/>
  <c r="E10" i="3"/>
  <c r="D12" i="3"/>
  <c r="E12" i="3" l="1"/>
  <c r="C12"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3" i="19"/>
  <c r="F43" i="19"/>
  <c r="AA71" i="13" l="1"/>
  <c r="W19" i="13" s="1"/>
  <c r="B71" i="26"/>
  <c r="B2" i="26" s="1"/>
  <c r="G2" i="19"/>
  <c r="C57" i="19" l="1"/>
  <c r="C35" i="19"/>
  <c r="C8" i="4"/>
  <c r="C11" i="4"/>
  <c r="C9" i="4"/>
  <c r="C10" i="4"/>
  <c r="C8" i="19"/>
  <c r="C62" i="19"/>
  <c r="C60" i="19"/>
  <c r="C58" i="19"/>
  <c r="C55" i="19"/>
  <c r="C53" i="19"/>
  <c r="C41" i="19"/>
  <c r="C39" i="19"/>
  <c r="C37" i="19"/>
  <c r="C34" i="19"/>
  <c r="C32" i="19"/>
  <c r="C30" i="19"/>
  <c r="C18" i="19"/>
  <c r="C16" i="19"/>
  <c r="C15" i="19"/>
  <c r="C12" i="19"/>
  <c r="C63" i="19"/>
  <c r="C61" i="19"/>
  <c r="C59" i="19"/>
  <c r="C56" i="19"/>
  <c r="C54" i="19"/>
  <c r="C52" i="19"/>
  <c r="C40" i="19"/>
  <c r="C38" i="19"/>
  <c r="C36" i="19"/>
  <c r="C33" i="19"/>
  <c r="C31" i="19"/>
  <c r="C19" i="19"/>
  <c r="C17" i="19"/>
  <c r="C14" i="19"/>
  <c r="C13" i="19"/>
  <c r="C11" i="19"/>
  <c r="G2" i="9"/>
  <c r="F2" i="38"/>
  <c r="G2" i="18"/>
  <c r="G2" i="6"/>
  <c r="G2" i="4"/>
  <c r="G2" i="2"/>
  <c r="E22" i="38" l="1"/>
  <c r="E23" i="38"/>
  <c r="E22" i="18" l="1"/>
  <c r="F21" i="19"/>
  <c r="E2" i="1" l="1"/>
  <c r="C57" i="18" l="1"/>
  <c r="C56" i="18"/>
  <c r="C55" i="18"/>
  <c r="C54" i="18"/>
  <c r="C53" i="18"/>
  <c r="C52" i="18"/>
  <c r="C51" i="18"/>
  <c r="C50" i="18"/>
  <c r="C49" i="18"/>
  <c r="C48" i="18"/>
  <c r="C47" i="18"/>
  <c r="C46" i="18"/>
  <c r="C26" i="18"/>
  <c r="C37" i="18"/>
  <c r="C36" i="18"/>
  <c r="C35" i="18"/>
  <c r="C34" i="18"/>
  <c r="C33" i="18"/>
  <c r="C32" i="18"/>
  <c r="C31" i="18"/>
  <c r="C30" i="18"/>
  <c r="C29" i="18"/>
  <c r="C28" i="18"/>
  <c r="C27" i="18"/>
  <c r="C20" i="18"/>
  <c r="C19" i="18"/>
  <c r="C18" i="18"/>
  <c r="C17" i="18"/>
  <c r="C16" i="18"/>
  <c r="C15" i="18"/>
  <c r="C14" i="18"/>
  <c r="C13" i="18"/>
  <c r="C12" i="18"/>
  <c r="C9" i="18"/>
  <c r="C11" i="18"/>
  <c r="C10" i="18"/>
  <c r="C51" i="19" l="1"/>
  <c r="C50" i="19"/>
  <c r="C49" i="19"/>
  <c r="C29" i="19"/>
  <c r="C28" i="19"/>
  <c r="C27" i="19"/>
  <c r="C10" i="19"/>
  <c r="C9" i="19"/>
  <c r="E14" i="38" l="1"/>
  <c r="D193" i="1"/>
  <c r="D192" i="1"/>
  <c r="D191" i="1"/>
  <c r="D190" i="1"/>
  <c r="D189" i="1"/>
  <c r="D188" i="1"/>
  <c r="D187" i="1"/>
  <c r="D180" i="1"/>
  <c r="D179" i="1"/>
  <c r="D178" i="1"/>
  <c r="D177" i="1"/>
  <c r="D176" i="1"/>
  <c r="D175" i="1"/>
  <c r="D174" i="1"/>
  <c r="D167" i="1"/>
  <c r="D166" i="1"/>
  <c r="D165" i="1"/>
  <c r="D164" i="1"/>
  <c r="D163" i="1"/>
  <c r="D162" i="1"/>
  <c r="D161" i="1"/>
  <c r="D154" i="1"/>
  <c r="D153" i="1"/>
  <c r="D152" i="1"/>
  <c r="D151" i="1"/>
  <c r="D150" i="1"/>
  <c r="D149" i="1"/>
  <c r="D148" i="1"/>
  <c r="C144" i="1"/>
  <c r="D142" i="1"/>
  <c r="D141" i="1"/>
  <c r="D136" i="1"/>
  <c r="D135" i="1"/>
  <c r="D134" i="1"/>
  <c r="D128" i="1"/>
  <c r="D127" i="1"/>
  <c r="D126" i="1"/>
  <c r="D125" i="1"/>
  <c r="D124" i="1"/>
  <c r="D123" i="1"/>
  <c r="D122" i="1"/>
  <c r="D120" i="1"/>
  <c r="D119" i="1"/>
  <c r="D118" i="1"/>
  <c r="D117" i="1"/>
  <c r="D116" i="1"/>
  <c r="D108" i="1"/>
  <c r="D107" i="1"/>
  <c r="D106" i="1"/>
  <c r="D105" i="1"/>
  <c r="D104" i="1"/>
  <c r="D103" i="1"/>
  <c r="D102" i="1"/>
  <c r="D101" i="1"/>
  <c r="D100" i="1"/>
  <c r="D99" i="1"/>
  <c r="D98" i="1"/>
  <c r="D97" i="1"/>
  <c r="D96" i="1"/>
  <c r="D95" i="1"/>
  <c r="D85" i="1"/>
  <c r="D84" i="1"/>
  <c r="D83" i="1"/>
  <c r="D82" i="1"/>
  <c r="D81" i="1"/>
  <c r="D80" i="1"/>
  <c r="D79" i="1"/>
  <c r="D77" i="1"/>
  <c r="D76" i="1"/>
  <c r="D75" i="1"/>
  <c r="D74" i="1"/>
  <c r="D73" i="1"/>
  <c r="D72" i="1"/>
  <c r="D71" i="1"/>
  <c r="D70" i="1"/>
  <c r="D60" i="1"/>
  <c r="D59" i="1"/>
  <c r="D58" i="1"/>
  <c r="D57"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29" i="1"/>
  <c r="D30" i="1"/>
  <c r="D31" i="1"/>
  <c r="D32" i="1"/>
  <c r="D156" i="1" l="1"/>
  <c r="B156" i="1" s="1"/>
  <c r="D195" i="1"/>
  <c r="B195" i="1" s="1"/>
  <c r="D182" i="1"/>
  <c r="B182" i="1" s="1"/>
  <c r="D169" i="1"/>
  <c r="B169" i="1" s="1"/>
  <c r="D130" i="1"/>
  <c r="B130" i="1" s="1"/>
  <c r="D144" i="1"/>
  <c r="B144" i="1" s="1"/>
  <c r="D110" i="1"/>
  <c r="B110" i="1" s="1"/>
  <c r="D87" i="1"/>
  <c r="B87" i="1" s="1"/>
  <c r="D62" i="1"/>
  <c r="B62" i="1" s="1"/>
  <c r="E20" i="38"/>
  <c r="E21" i="38"/>
  <c r="F16" i="9"/>
  <c r="F23" i="9" s="1"/>
  <c r="D23" i="9"/>
  <c r="E15" i="9"/>
  <c r="E9" i="9"/>
  <c r="E62" i="18"/>
  <c r="E42" i="18"/>
  <c r="F65" i="19"/>
  <c r="F64" i="19"/>
  <c r="F42" i="19"/>
  <c r="F20" i="19"/>
  <c r="E21" i="6"/>
  <c r="E22" i="6"/>
  <c r="E23" i="6"/>
  <c r="E24" i="6"/>
  <c r="E25" i="6"/>
  <c r="E26" i="6"/>
  <c r="E27" i="6"/>
  <c r="E28" i="6"/>
  <c r="E29" i="6"/>
  <c r="E30" i="6"/>
  <c r="E13" i="4"/>
  <c r="F9" i="4"/>
  <c r="F10" i="4"/>
  <c r="F11" i="4"/>
  <c r="B199" i="1" l="1"/>
  <c r="U5" i="13" s="1"/>
  <c r="F67" i="19"/>
  <c r="D67" i="19" s="1"/>
  <c r="F45" i="19"/>
  <c r="D45" i="19" s="1"/>
  <c r="E60" i="18"/>
  <c r="E59" i="18"/>
  <c r="E40" i="18"/>
  <c r="E39" i="18"/>
  <c r="E9" i="2"/>
  <c r="D10" i="1"/>
  <c r="D34" i="1" s="1"/>
  <c r="U60" i="13" l="1"/>
  <c r="Y60" i="13" s="1"/>
  <c r="U64" i="13"/>
  <c r="Y64" i="13" s="1"/>
  <c r="U68" i="13"/>
  <c r="Y68" i="13" s="1"/>
  <c r="U61" i="13"/>
  <c r="Y61" i="13" s="1"/>
  <c r="U65" i="13"/>
  <c r="Y65" i="13" s="1"/>
  <c r="U69" i="13"/>
  <c r="Y69" i="13" s="1"/>
  <c r="U62" i="13"/>
  <c r="Y62" i="13" s="1"/>
  <c r="U66" i="13"/>
  <c r="Y66" i="13" s="1"/>
  <c r="U70" i="13"/>
  <c r="Y70" i="13" s="1"/>
  <c r="U63" i="13"/>
  <c r="Y63" i="13" s="1"/>
  <c r="U67" i="13"/>
  <c r="Y67" i="13" s="1"/>
  <c r="B34" i="1"/>
  <c r="F8" i="4"/>
  <c r="F13" i="4" s="1"/>
  <c r="D13" i="4" s="1"/>
  <c r="AC5" i="13" s="1"/>
  <c r="AD67" i="13" l="1"/>
  <c r="AD63" i="13"/>
  <c r="AD68" i="13"/>
  <c r="AD64" i="13"/>
  <c r="AD60" i="13"/>
  <c r="AD69" i="13"/>
  <c r="AD65" i="13"/>
  <c r="AD61" i="13"/>
  <c r="AD70" i="13"/>
  <c r="AD66" i="13"/>
  <c r="AD62" i="13"/>
  <c r="AT18" i="13"/>
  <c r="E17" i="38" l="1"/>
  <c r="E16" i="38"/>
  <c r="E12" i="38"/>
  <c r="D16" i="38"/>
  <c r="D25" i="38" s="1"/>
  <c r="E9" i="38"/>
  <c r="E57" i="18"/>
  <c r="E56" i="18"/>
  <c r="E54" i="18"/>
  <c r="E53" i="18"/>
  <c r="E51" i="18"/>
  <c r="E50" i="18"/>
  <c r="E48" i="18"/>
  <c r="E47" i="18"/>
  <c r="F62" i="18"/>
  <c r="D62" i="18" s="1"/>
  <c r="E37" i="18"/>
  <c r="E36" i="18"/>
  <c r="E34" i="18"/>
  <c r="E33" i="18"/>
  <c r="E31" i="18"/>
  <c r="E30" i="18"/>
  <c r="E28" i="18"/>
  <c r="E27" i="18"/>
  <c r="F42" i="18"/>
  <c r="E20" i="18"/>
  <c r="E19" i="18"/>
  <c r="E17" i="18"/>
  <c r="E16" i="18"/>
  <c r="E14" i="18"/>
  <c r="E13" i="18"/>
  <c r="E11" i="18"/>
  <c r="E63" i="19"/>
  <c r="E62" i="19"/>
  <c r="E60" i="19"/>
  <c r="E59" i="19"/>
  <c r="E57" i="19"/>
  <c r="E56" i="19"/>
  <c r="E54" i="19"/>
  <c r="E53" i="19"/>
  <c r="E51" i="19"/>
  <c r="E50" i="19"/>
  <c r="E41" i="19"/>
  <c r="E40" i="19"/>
  <c r="E38" i="19"/>
  <c r="E37" i="19"/>
  <c r="E35" i="19"/>
  <c r="E34" i="19"/>
  <c r="E32" i="19"/>
  <c r="E31" i="19"/>
  <c r="E29" i="19"/>
  <c r="E28" i="19"/>
  <c r="E19" i="19"/>
  <c r="E18" i="19"/>
  <c r="E16" i="19"/>
  <c r="E15" i="19"/>
  <c r="E13" i="19"/>
  <c r="E12" i="19"/>
  <c r="E10" i="19"/>
  <c r="E10" i="18"/>
  <c r="F22" i="18"/>
  <c r="F23" i="19"/>
  <c r="D23" i="19" s="1"/>
  <c r="D71" i="19" s="1"/>
  <c r="AJ5" i="13" s="1"/>
  <c r="E9" i="19"/>
  <c r="AR61" i="13" l="1"/>
  <c r="AT61" i="13" s="1"/>
  <c r="AR65" i="13"/>
  <c r="AT65" i="13" s="1"/>
  <c r="AR69" i="13"/>
  <c r="AT69" i="13" s="1"/>
  <c r="AR62" i="13"/>
  <c r="AT62" i="13" s="1"/>
  <c r="AR66" i="13"/>
  <c r="AT66" i="13" s="1"/>
  <c r="AR70" i="13"/>
  <c r="AT70" i="13" s="1"/>
  <c r="AR63" i="13"/>
  <c r="AT63" i="13" s="1"/>
  <c r="AR67" i="13"/>
  <c r="AT67" i="13" s="1"/>
  <c r="AR60" i="13"/>
  <c r="AT60" i="13" s="1"/>
  <c r="AR64" i="13"/>
  <c r="AT64" i="13" s="1"/>
  <c r="AR68" i="13"/>
  <c r="AT68" i="13" s="1"/>
  <c r="E25" i="38"/>
  <c r="C25"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2" i="18"/>
  <c r="D22" i="18"/>
  <c r="F13" i="2"/>
  <c r="D13" i="2"/>
  <c r="AT71" i="13" l="1"/>
  <c r="AR19"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68" i="18"/>
  <c r="AK5" i="13" s="1"/>
  <c r="AS71" i="13" l="1"/>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R21" i="13"/>
  <c r="AJ21" i="13"/>
  <c r="W21" i="13"/>
  <c r="E18" i="9"/>
  <c r="E14" i="9"/>
  <c r="D32" i="6"/>
  <c r="E10" i="6"/>
  <c r="E11" i="6"/>
  <c r="E13" i="6"/>
  <c r="E14" i="6"/>
  <c r="E15" i="6"/>
  <c r="E17" i="6"/>
  <c r="E18" i="6"/>
  <c r="E19" i="6"/>
  <c r="E9" i="6"/>
  <c r="E8" i="6"/>
  <c r="E7" i="2"/>
  <c r="E10" i="2"/>
  <c r="E20" i="9"/>
  <c r="E21" i="9"/>
  <c r="E11" i="9"/>
  <c r="E12" i="9"/>
  <c r="AM71" i="13" l="1"/>
  <c r="AK19" i="13" s="1"/>
  <c r="AK21" i="13" s="1"/>
  <c r="AM21" i="13" s="1"/>
  <c r="M5" i="13" s="1"/>
  <c r="E23" i="9"/>
  <c r="C23" i="9" s="1"/>
  <c r="O5" i="13" s="1"/>
  <c r="E32" i="6"/>
  <c r="C32" i="6" s="1"/>
  <c r="AD5" i="13" s="1"/>
  <c r="AT21" i="13"/>
  <c r="N5" i="13" s="1"/>
  <c r="E13" i="2"/>
  <c r="C13"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Q21" i="13" s="1"/>
  <c r="C5" i="13" s="1"/>
  <c r="C19" i="13" s="1"/>
  <c r="C21" i="13" s="1"/>
  <c r="E21" i="13" s="1"/>
  <c r="L69" i="13"/>
  <c r="Q69" i="13" s="1"/>
  <c r="L61" i="13"/>
  <c r="Q61" i="13" s="1"/>
  <c r="L64" i="13"/>
  <c r="Q64" i="13" s="1"/>
  <c r="L65" i="13"/>
  <c r="Q65" i="13" s="1"/>
  <c r="L70" i="13"/>
  <c r="Q70" i="13" s="1"/>
  <c r="P71" i="13" l="1"/>
  <c r="C61" i="13"/>
  <c r="E61" i="13" s="1"/>
  <c r="C60" i="13"/>
  <c r="E60" i="13" s="1"/>
  <c r="C64" i="13"/>
  <c r="E64" i="13" s="1"/>
  <c r="C70" i="13"/>
  <c r="E70" i="13" s="1"/>
  <c r="C62" i="13"/>
  <c r="E62" i="13" s="1"/>
  <c r="C68" i="13"/>
  <c r="E68" i="13" s="1"/>
  <c r="C65" i="13"/>
  <c r="E65" i="13" s="1"/>
  <c r="C63" i="13"/>
  <c r="E63" i="13" s="1"/>
  <c r="C69" i="13"/>
  <c r="E69" i="13" s="1"/>
  <c r="C67" i="13"/>
  <c r="E67" i="13" s="1"/>
  <c r="C66" i="13"/>
  <c r="E66" i="13" s="1"/>
  <c r="Q71" i="13"/>
  <c r="B49" i="13"/>
  <c r="C49" i="13" s="1"/>
  <c r="B50" i="13"/>
  <c r="C50" i="13" s="1"/>
  <c r="E23" i="13"/>
  <c r="B47" i="13"/>
  <c r="C47" i="13" s="1"/>
  <c r="B48" i="13"/>
  <c r="C48" i="13" s="1"/>
  <c r="E71" i="13" l="1"/>
  <c r="C51" i="13"/>
  <c r="E24" i="13" s="1"/>
</calcChain>
</file>

<file path=xl/sharedStrings.xml><?xml version="1.0" encoding="utf-8"?>
<sst xmlns="http://schemas.openxmlformats.org/spreadsheetml/2006/main" count="1589" uniqueCount="528">
  <si>
    <t>Metric 1.3  Percent Compliance with Staff Training Standards</t>
  </si>
  <si>
    <t>5.1  Percent Compliance With Administrative Requirements</t>
  </si>
  <si>
    <t>5.1.1</t>
  </si>
  <si>
    <t>5.1.2</t>
  </si>
  <si>
    <t>5.1.5</t>
  </si>
  <si>
    <t>5.1.6</t>
  </si>
  <si>
    <t>5.1.7</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</si>
  <si>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</si>
  <si>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</si>
  <si>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</si>
  <si>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</si>
  <si>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</si>
  <si>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</si>
  <si>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</si>
  <si>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</si>
  <si>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</si>
  <si>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</si>
  <si>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</si>
  <si>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</si>
  <si>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</si>
  <si>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</si>
  <si>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</si>
  <si>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</si>
  <si>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</si>
  <si>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</si>
  <si>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</si>
  <si>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</si>
  <si>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</si>
  <si>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1.2.7</t>
  </si>
  <si>
    <t>Your percent compliance with this metric</t>
  </si>
  <si>
    <t>Metric 1.2  Percent Compliance with Staff Qualification Standards</t>
  </si>
  <si>
    <t>Metric 1.1  Percent Compliance with Staffing Standards</t>
  </si>
  <si>
    <t>Your Percent Compliance with this Metric</t>
  </si>
  <si>
    <t>5.1.3</t>
  </si>
  <si>
    <t>5.1.4</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</si>
  <si>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</si>
  <si>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</si>
  <si>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</si>
  <si>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</si>
  <si>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</si>
  <si>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</si>
  <si>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</si>
  <si>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</si>
  <si>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</si>
  <si>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</si>
  <si>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</si>
  <si>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</si>
  <si>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</si>
  <si>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</si>
  <si>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Metric 2.1  Percent Compliance with Facility Square Footage Requirements</t>
  </si>
  <si>
    <t>4.1.1</t>
  </si>
  <si>
    <t>4.1.2</t>
  </si>
  <si>
    <t>4.1.4</t>
  </si>
  <si>
    <t>4.1.5</t>
  </si>
  <si>
    <t>4.1.6</t>
  </si>
  <si>
    <t>1.3.12</t>
  </si>
  <si>
    <t>1.3.13</t>
  </si>
  <si>
    <t>1.3.14</t>
  </si>
  <si>
    <t>3.1.4</t>
  </si>
  <si>
    <t>3.1.5</t>
  </si>
  <si>
    <t>3.1.6</t>
  </si>
  <si>
    <t>2.2 Facility Quality</t>
  </si>
  <si>
    <t>2.1 Square Footage</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</si>
  <si>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</si>
  <si>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</si>
  <si>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</si>
  <si>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</si>
  <si>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</si>
  <si>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</si>
  <si>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</si>
  <si>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</si>
  <si>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</si>
  <si>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</si>
  <si>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</si>
  <si>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</si>
  <si>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</si>
  <si>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</si>
  <si>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</si>
  <si>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</si>
  <si>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</si>
  <si>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</si>
  <si>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</si>
  <si>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</si>
  <si>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</si>
  <si>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</si>
  <si>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</si>
  <si>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</si>
  <si>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</si>
  <si>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</si>
  <si>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</si>
  <si>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</si>
  <si>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</si>
  <si>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</si>
  <si>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</si>
  <si>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</si>
  <si>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</si>
  <si>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</si>
  <si>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</si>
  <si>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</si>
  <si>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</si>
  <si>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</si>
  <si>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</si>
  <si>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</si>
  <si>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</si>
  <si>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</si>
  <si>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</si>
  <si>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</si>
  <si>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</si>
  <si>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</si>
  <si>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</si>
  <si>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</si>
  <si>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</si>
  <si>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 xml:space="preserve">The Fitness Equipment Officer is an E7 or above.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</si>
  <si>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</si>
  <si>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</si>
  <si>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</si>
  <si>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</si>
  <si>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</si>
  <si>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</si>
  <si>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</si>
  <si>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</si>
  <si>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</si>
  <si>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</si>
  <si>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</si>
  <si>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</si>
  <si>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1.2.8</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</si>
  <si>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</si>
  <si>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</si>
  <si>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</si>
  <si>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</si>
  <si>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</si>
  <si>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</si>
  <si>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</si>
  <si>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</si>
  <si>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</si>
  <si>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</si>
  <si>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</si>
  <si>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</si>
  <si>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</si>
  <si>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</si>
  <si>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</si>
  <si>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</si>
  <si>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</si>
  <si>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A water fountain or cooler (either portable or permanent) is available within or adjacent to the fitness activity areas.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</si>
  <si>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</si>
  <si>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</si>
  <si>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</si>
  <si>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</si>
  <si>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</si>
  <si>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</si>
  <si>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</si>
  <si>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</si>
  <si>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</si>
  <si>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</si>
  <si>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</si>
  <si>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</si>
  <si>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</si>
  <si>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</si>
  <si>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</si>
  <si>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</si>
  <si>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</si>
  <si>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</si>
  <si>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</si>
  <si>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</si>
  <si>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</si>
  <si>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</si>
  <si>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</si>
  <si>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</si>
  <si>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</si>
  <si>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</si>
  <si>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</si>
  <si>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</si>
  <si>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</si>
  <si>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</si>
  <si>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</si>
  <si>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</si>
  <si>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</si>
  <si>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</si>
  <si>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</si>
  <si>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</si>
  <si>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</si>
  <si>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</si>
  <si>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</si>
  <si>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</si>
  <si>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</si>
  <si>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</si>
  <si>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</si>
  <si>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</si>
  <si>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</si>
  <si>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</si>
  <si>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</si>
  <si>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</si>
  <si>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</si>
  <si>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</si>
  <si>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</si>
  <si>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4.2.9</t>
  </si>
  <si>
    <t>4.2.10</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</si>
  <si>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</si>
  <si>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</si>
  <si>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</si>
  <si>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</si>
  <si>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</si>
  <si>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Percent of cardio equipment that is operational.</t>
  </si>
  <si>
    <t>Fitness Equipment Repair Parts</t>
  </si>
  <si>
    <t>A sufficient stock of spare and repair parts for fitness equipment is on-hand.</t>
  </si>
  <si>
    <t>At least one treadmill deck</t>
  </si>
  <si>
    <t xml:space="preserve">One replacement belt for every 3 treadmills </t>
  </si>
  <si>
    <t>Equipment Maintenance</t>
  </si>
  <si>
    <t>Percent of strength equipment that is operational.</t>
  </si>
  <si>
    <t>Recreation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</si>
  <si>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</si>
  <si>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</si>
  <si>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</si>
  <si>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</si>
  <si>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</si>
  <si>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</si>
  <si>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Understanding Standards</t>
  </si>
  <si>
    <r>
      <rPr>
        <b/>
        <sz val="12"/>
        <rFont val="Times New Roman"/>
        <family val="1"/>
      </rPr>
      <t>Ship's Company</t>
    </r>
    <r>
      <rPr>
        <sz val="12"/>
        <rFont val="Times New Roman"/>
        <family val="1"/>
      </rPr>
      <t xml:space="preserve"> has completed the following training:</t>
    </r>
  </si>
  <si>
    <t>3.1 Percent Compliance with Recreation Programming Standards</t>
  </si>
  <si>
    <t>4.1 Percent Compliance with Recreation Equipment Standards</t>
  </si>
  <si>
    <t>Shelving for paperback books</t>
  </si>
  <si>
    <t>Computer station (s)</t>
  </si>
  <si>
    <t>Site TV System</t>
  </si>
  <si>
    <t>Cinema at Sea Initiative (CASI) system</t>
  </si>
  <si>
    <t xml:space="preserve">Navy Digital Video Disk (NDVD) Player </t>
  </si>
  <si>
    <t>Navy Digital Video Disk (NDVD) Player for the CASI System</t>
  </si>
  <si>
    <t xml:space="preserve">Movie Program </t>
  </si>
  <si>
    <t xml:space="preserve">Position Filled </t>
  </si>
  <si>
    <t>Afloat Fitness Director NF 4 or Afloat Recreation Director NF 4</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</si>
  <si>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</si>
  <si>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</si>
  <si>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</si>
  <si>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</si>
  <si>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</si>
  <si>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</si>
  <si>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</si>
  <si>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</si>
  <si>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</si>
  <si>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</si>
  <si>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An after-action file is maintained on each trip/tour/outing.</t>
  </si>
  <si>
    <t xml:space="preserve">No movies other than those provided by Navy Motion Picture Service or Armed Forces Radio and Television Service (AFRTS) are shown on SITE-CCTV or CASI System. </t>
  </si>
  <si>
    <t>Trips/tours/outings are offered at cost or discounted.</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</si>
  <si>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</si>
  <si>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</si>
  <si>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</si>
  <si>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</si>
  <si>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</si>
  <si>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</si>
  <si>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</si>
  <si>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</si>
  <si>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</si>
  <si>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</si>
  <si>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</si>
  <si>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</si>
  <si>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</si>
  <si>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</si>
  <si>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Athletics Officer is an E7 or above.</t>
  </si>
  <si>
    <t xml:space="preserve">Recreation Fund Custodian is an E7 or above. 
</t>
  </si>
  <si>
    <t>A recreation gear locker is available to the crew on request.</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</si>
  <si>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</si>
  <si>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</si>
  <si>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</si>
  <si>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</si>
  <si>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</si>
  <si>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</si>
  <si>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</si>
  <si>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</si>
  <si>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</si>
  <si>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</si>
  <si>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</si>
  <si>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</si>
  <si>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</si>
  <si>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</si>
  <si>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3.1.17</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</si>
  <si>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</si>
  <si>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</si>
  <si>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</si>
  <si>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</si>
  <si>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</si>
  <si>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</si>
  <si>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</si>
  <si>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</si>
  <si>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Sheet total</t>
  </si>
  <si>
    <t>3.1.26</t>
  </si>
  <si>
    <t>3.1.27</t>
  </si>
  <si>
    <t>3.1.28</t>
  </si>
  <si>
    <t>3.1.29</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</si>
  <si>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</si>
  <si>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</si>
  <si>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The ship has the following equipment to show movies:</t>
  </si>
  <si>
    <t>4.1.7</t>
  </si>
  <si>
    <t>4.1.8</t>
  </si>
  <si>
    <t>4.1.9</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</si>
  <si>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</si>
  <si>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</si>
  <si>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</si>
  <si>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</si>
  <si>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</si>
  <si>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</si>
  <si>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</si>
  <si>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</si>
  <si>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</si>
  <si>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</si>
  <si>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</si>
  <si>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</si>
  <si>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</si>
  <si>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</si>
  <si>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</si>
  <si>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</si>
  <si>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</si>
  <si>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</si>
  <si>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</si>
  <si>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</si>
  <si>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</si>
  <si>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</si>
  <si>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</si>
  <si>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</si>
  <si>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</si>
  <si>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</si>
  <si>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</si>
  <si>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</si>
  <si>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</si>
  <si>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</si>
  <si>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</si>
  <si>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</si>
  <si>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</si>
  <si>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</si>
  <si>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</si>
  <si>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</si>
  <si>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</si>
  <si>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</si>
  <si>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</si>
  <si>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Pick one answer</t>
  </si>
  <si>
    <t>4.2.1</t>
  </si>
  <si>
    <t>4.2.2</t>
  </si>
  <si>
    <t>4.2.3</t>
  </si>
  <si>
    <t>4.2.4</t>
  </si>
  <si>
    <t>4.2.5</t>
  </si>
  <si>
    <t>4.2.6</t>
  </si>
  <si>
    <t>4.2.11</t>
  </si>
  <si>
    <t>Treadmills</t>
  </si>
  <si>
    <t>Upright Cycle</t>
  </si>
  <si>
    <t xml:space="preserve">Bench Flat/Incline/Decline </t>
  </si>
  <si>
    <t xml:space="preserve">Dumbbells 12-Sided Urethane 5-100 St W/Rack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</si>
  <si>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</si>
  <si>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</si>
  <si>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</si>
  <si>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</si>
  <si>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</si>
  <si>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</si>
  <si>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</si>
  <si>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</si>
  <si>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</si>
  <si>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</si>
  <si>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</si>
  <si>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Plate Loaded 3 Way Olympic Bench                                               (Weight Plates Ea Machine) 45Lb-4, 35Lb-2, 25Lb-4, 10Lb-4, 5Lb-4, 2.5Lb-2</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</si>
  <si>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</si>
  <si>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</si>
  <si>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</si>
  <si>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</si>
  <si>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</si>
  <si>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</si>
  <si>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</si>
  <si>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</si>
  <si>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</si>
  <si>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</si>
  <si>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</si>
  <si>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</si>
  <si>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</si>
  <si>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</si>
  <si>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</si>
  <si>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</si>
  <si>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</si>
  <si>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</si>
  <si>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</si>
  <si>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</si>
  <si>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</si>
  <si>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</si>
  <si>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</si>
  <si>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</si>
  <si>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</si>
  <si>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</si>
  <si>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</si>
  <si>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</si>
  <si>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</si>
  <si>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</si>
  <si>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</si>
  <si>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</si>
  <si>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</si>
  <si>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</si>
  <si>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</si>
  <si>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</si>
  <si>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</si>
  <si>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</si>
  <si>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</si>
  <si>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</si>
  <si>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</si>
  <si>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</si>
  <si>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</si>
  <si>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</si>
  <si>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</si>
  <si>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</si>
  <si>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</si>
  <si>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</si>
  <si>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</si>
  <si>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</si>
  <si>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</si>
  <si>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</si>
  <si>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</si>
  <si>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</si>
  <si>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</si>
  <si>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</si>
  <si>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</si>
  <si>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</si>
  <si>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</si>
  <si>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</si>
  <si>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</si>
  <si>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At least two ship’s company personnel have completed vendor provided maintenance and repair training for exercise equipment.</t>
  </si>
  <si>
    <t>SQUARE FOOTAGE TABLE</t>
  </si>
  <si>
    <t>LMRC</t>
  </si>
  <si>
    <t>Rec Gear Storage</t>
  </si>
  <si>
    <t>Fit Equip Storage</t>
  </si>
  <si>
    <t>Fitness space</t>
  </si>
  <si>
    <t>Staff Office</t>
  </si>
  <si>
    <t>Total SQ'</t>
  </si>
  <si>
    <t>NAVY  AFLOAT RECREATION (SHIPBOARD) STANDARDS</t>
  </si>
  <si>
    <t>LESS THAN 100</t>
  </si>
  <si>
    <t xml:space="preserve">                                                    </t>
  </si>
  <si>
    <t>3.2.1</t>
  </si>
  <si>
    <t>3.2.2</t>
  </si>
  <si>
    <t>3.2.3</t>
  </si>
  <si>
    <t>3.2.4</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</si>
  <si>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</si>
  <si>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</si>
  <si>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</si>
  <si>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</si>
  <si>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</si>
  <si>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</si>
  <si>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</si>
  <si>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</si>
  <si>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</si>
  <si>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</si>
  <si>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</si>
  <si>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</si>
  <si>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</si>
  <si>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</si>
  <si>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</si>
  <si>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</si>
  <si>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</si>
  <si>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</si>
  <si>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</si>
  <si>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</si>
  <si>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</si>
  <si>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</si>
  <si>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</si>
  <si>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</si>
  <si>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</si>
  <si>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</si>
  <si>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</si>
  <si>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</si>
  <si>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</si>
  <si>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</si>
  <si>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</si>
  <si>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</si>
  <si>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</si>
  <si>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</si>
  <si>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</si>
  <si>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</si>
  <si>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</si>
  <si>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</si>
  <si>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</si>
  <si>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</si>
  <si>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</si>
  <si>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   </t>
  </si>
  <si>
    <t xml:space="preserve">Recreation Services Officer has completed the required CNIC Afloat Recreation Program Management Course. (Should be completed prior to but no later than one month after assumption of duties.) </t>
  </si>
  <si>
    <t xml:space="preserve">The Recreation Fund Custodian has completed the required CNIC Afloat Recreation Program Management Course. (Should be completed prior to but no later than one month after assumption of duties.) </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</si>
  <si>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</si>
  <si>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r>
      <rPr>
        <b/>
        <u/>
        <sz val="12"/>
        <rFont val="Times New Roman"/>
        <family val="1"/>
      </rPr>
      <t>Athletics Officer (AO)</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</si>
  <si>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r>
      <rPr>
        <b/>
        <u/>
        <sz val="12"/>
        <rFont val="Times New Roman"/>
        <family val="1"/>
      </rPr>
      <t>Fitness Equipment Officer (FEO)</t>
    </r>
    <r>
      <rPr>
        <b/>
        <sz val="12"/>
        <rFont val="Times New Roman"/>
        <family val="1"/>
      </rPr>
      <t xml:space="preserve"> </t>
    </r>
    <r>
      <rPr>
        <b/>
        <i/>
        <sz val="12"/>
        <rFont val="Times New Roman"/>
        <family val="1"/>
      </rPr>
      <t>Recommended</t>
    </r>
    <r>
      <rPr>
        <sz val="12"/>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</si>
  <si>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r>
      <rPr>
        <b/>
        <u/>
        <sz val="12"/>
        <rFont val="Times New Roman"/>
        <family val="1"/>
      </rPr>
      <t>Movie Officer</t>
    </r>
    <r>
      <rPr>
        <b/>
        <sz val="12"/>
        <rFont val="Times New Roman"/>
        <family val="1"/>
      </rPr>
      <t xml:space="preserve">  </t>
    </r>
    <r>
      <rPr>
        <b/>
        <i/>
        <sz val="12"/>
        <rFont val="Times New Roman"/>
        <family val="1"/>
      </rPr>
      <t>Recommended</t>
    </r>
    <r>
      <rPr>
        <sz val="12"/>
        <rFont val="Times New Roman"/>
        <family val="1"/>
      </rPr>
      <t xml:space="preserve">
The Navy Motion Picture Service (NMPS) movie program officer will be responsible for the safeguarding and utilization of the daily NMPS program onboard. This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</si>
  <si>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rFont val="Times New Roman"/>
        <family val="1"/>
      </rPr>
      <t>Library Officer</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</si>
  <si>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t>Recommended</t>
  </si>
  <si>
    <t>CNICINST 1710.5 Administration of Afloat Recreation Programs</t>
  </si>
  <si>
    <t xml:space="preserve">CNICINST 1710.3 Operation of Morale, Welfare and Recreation (MWR) Programs 
</t>
  </si>
  <si>
    <t>The ship received an overall outstanding score on the last CNIC Afloat Recreation Program Inspection (90-100 score)</t>
  </si>
  <si>
    <t>The ship received an overall satisfactory score on the last CNIC Afloat Recreation Program Inspection (75-89 score).</t>
  </si>
  <si>
    <t>The ship has at least this number of cardio equipment from the list below:</t>
  </si>
  <si>
    <t xml:space="preserve">60% of cardio is from the list below </t>
  </si>
  <si>
    <t xml:space="preserve">Rower </t>
  </si>
  <si>
    <t xml:space="preserve">20% of cardio is from the list below </t>
  </si>
  <si>
    <t xml:space="preserve">Elliptical Trainer </t>
  </si>
  <si>
    <t xml:space="preserve">Spinning Cycle </t>
  </si>
  <si>
    <t xml:space="preserve">Versa Climber </t>
  </si>
  <si>
    <t>Self-Powered Treadmill</t>
  </si>
  <si>
    <t xml:space="preserve">Air Bike </t>
  </si>
  <si>
    <t xml:space="preserve">Bike Erg </t>
  </si>
  <si>
    <t xml:space="preserve">Ski Erg </t>
  </si>
  <si>
    <t>Required Strength Equipment</t>
  </si>
  <si>
    <t>The ship has at least this number of strength equipment in the list below:  </t>
  </si>
  <si>
    <t>Required Weight Machines</t>
  </si>
  <si>
    <t>The ship has at least this number of weight machines (Adjustable Weight Stack or Plate Loaded) from the list below:</t>
  </si>
  <si>
    <t xml:space="preserve">Adjustable Weight Stack </t>
  </si>
  <si>
    <t xml:space="preserve">Adj Weight Stack Compact Functional Trainer </t>
  </si>
  <si>
    <t>Plate Loaded Machines</t>
  </si>
  <si>
    <t xml:space="preserve">Adjustable Decline Ab Bench </t>
  </si>
  <si>
    <r>
      <t xml:space="preserve">Plate Loaded </t>
    </r>
    <r>
      <rPr>
        <sz val="12"/>
        <rFont val="Times New Roman"/>
        <family val="1"/>
      </rPr>
      <t>Tree and or Rack</t>
    </r>
  </si>
  <si>
    <t>Plate Loaded Smith Machine                                                           (Weight Plates Ea Machine) 45Lb-6,35Lb-2, 25Lb-6, 10Lb-4, 5Lb-4, 2.5Lb-4 &amp; bench (if needed)</t>
  </si>
  <si>
    <t>Plate Loaded Squat Rack                                                           (Weight Plates Ea Machine) 45Lb-6,35Lb-2, 25Lb-6, 10Lb-4, 5Lb-4, 2.5Lb-4  with/olympic bar &amp; bench (if needed)</t>
  </si>
  <si>
    <t xml:space="preserve">Other Strength/Accessory Equipment </t>
  </si>
  <si>
    <t>The ship has moveable gym boxes (not connex)</t>
  </si>
  <si>
    <t xml:space="preserve">Dual or Single Rack Gym Box </t>
  </si>
  <si>
    <t xml:space="preserve">The ship has additional equipment available </t>
  </si>
  <si>
    <t>Adjustable Dumbell Sets (U50 or U90)</t>
  </si>
  <si>
    <t xml:space="preserve">Kettlebells - up to 44kg </t>
  </si>
  <si>
    <t xml:space="preserve">Non-Reactive Medicine Balls </t>
  </si>
  <si>
    <t xml:space="preserve">Olympic Bars </t>
  </si>
  <si>
    <t xml:space="preserve">Bumper Plates </t>
  </si>
  <si>
    <t xml:space="preserve">Cushioned Plyo Boxes </t>
  </si>
  <si>
    <t xml:space="preserve">Battle Ropes </t>
  </si>
  <si>
    <t xml:space="preserve">Jump Ropes </t>
  </si>
  <si>
    <t xml:space="preserve">Lacrosse Balls </t>
  </si>
  <si>
    <t xml:space="preserve">Foam Rollers </t>
  </si>
  <si>
    <t>4.2.12</t>
  </si>
  <si>
    <t>4.2.14</t>
  </si>
  <si>
    <t>4.2.15</t>
  </si>
  <si>
    <t>One replacement cable for each adjustable weight stack machine.</t>
  </si>
  <si>
    <t>One set of replacement pads for every bench: flat, incline, decline &amp; adjustable decline ab. (deployment only)</t>
  </si>
  <si>
    <t>Adj Weight Stack Bicep Tricep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</si>
</sst>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59"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u/>
      <sz val="12"/>
      <name val="Times New Roman"/>
      <family val="1"/>
    </font>
    <font>
      <b/>
      <i/>
      <sz val="12"/>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43">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4"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5" fillId="0" borderId="0" xfId="0" applyFont="1" applyAlignment="1">
      <alignment horizontal="left" wrapText="1" indent="5"/>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3" fillId="0" borderId="0" xfId="0" applyFont="1"/>
    <xf numFmtId="0" fontId="1" fillId="0" borderId="0" xfId="0" applyFont="1"/>
    <xf numFmtId="0" fontId="29" fillId="0" borderId="0" xfId="0" applyFont="1" applyAlignment="1">
      <alignment horizontal="left" vertical="top" wrapText="1"/>
    </xf>
    <xf numFmtId="0" fontId="8" fillId="0" borderId="0" xfId="0" applyFont="1" applyAlignment="1">
      <alignment horizontal="left"/>
    </xf>
    <xf numFmtId="0" fontId="28" fillId="0" borderId="0" xfId="0" applyFont="1" applyAlignment="1">
      <alignment horizontal="center" vertical="top"/>
    </xf>
    <xf numFmtId="0" fontId="30" fillId="0" borderId="0" xfId="0" applyFont="1"/>
    <xf numFmtId="0" fontId="25" fillId="0" borderId="0" xfId="0" applyFont="1" applyAlignment="1">
      <alignment vertical="top" wrapText="1"/>
    </xf>
    <xf numFmtId="0" fontId="25" fillId="0" borderId="0" xfId="0" applyFont="1" applyAlignment="1">
      <alignment horizontal="left" indent="3"/>
    </xf>
    <xf numFmtId="0" fontId="28" fillId="0" borderId="0" xfId="0" applyFont="1"/>
    <xf numFmtId="0" fontId="25" fillId="0" borderId="0" xfId="0" applyFont="1" applyAlignment="1">
      <alignment wrapText="1"/>
    </xf>
    <xf numFmtId="0" fontId="2" fillId="0" borderId="0" xfId="0" applyFont="1" applyBorder="1" applyAlignment="1">
      <alignment horizontal="left" vertical="top" indent="10"/>
    </xf>
    <xf numFmtId="0" fontId="32" fillId="0" borderId="0" xfId="0" applyFont="1" applyAlignment="1">
      <alignment horizontal="left" vertical="top" wrapText="1" indent="5"/>
    </xf>
    <xf numFmtId="0" fontId="24" fillId="0" borderId="0" xfId="0" applyFont="1" applyAlignment="1">
      <alignment horizontal="left" indent="15"/>
    </xf>
    <xf numFmtId="0" fontId="27" fillId="0" borderId="0" xfId="0" applyFont="1"/>
    <xf numFmtId="0" fontId="33" fillId="0" borderId="0" xfId="0" applyFont="1" applyAlignment="1">
      <alignment vertical="top"/>
    </xf>
    <xf numFmtId="0" fontId="24" fillId="0" borderId="0" xfId="0" applyFont="1" applyAlignment="1">
      <alignment horizontal="center" vertical="center"/>
    </xf>
    <xf numFmtId="0" fontId="25" fillId="0" borderId="0" xfId="0" applyFont="1" applyAlignment="1">
      <alignment horizontal="left" vertical="top" indent="3"/>
    </xf>
    <xf numFmtId="0" fontId="28" fillId="0" borderId="0" xfId="0" applyFont="1" applyAlignment="1">
      <alignment vertical="top" wrapText="1"/>
    </xf>
    <xf numFmtId="0" fontId="2" fillId="0" borderId="0" xfId="0" applyFont="1" applyAlignment="1"/>
    <xf numFmtId="0" fontId="26" fillId="0" borderId="0" xfId="0" applyFont="1" applyFill="1" applyBorder="1" applyAlignment="1">
      <alignment vertical="top" wrapText="1"/>
    </xf>
    <xf numFmtId="0" fontId="30"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3" fillId="0" borderId="0" xfId="0" applyFont="1" applyAlignment="1">
      <alignment horizontal="left"/>
    </xf>
    <xf numFmtId="0" fontId="24" fillId="0" borderId="0" xfId="0" applyFont="1" applyAlignment="1">
      <alignment vertical="top"/>
    </xf>
    <xf numFmtId="0" fontId="33"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0"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4" fillId="0" borderId="0" xfId="0" applyFont="1" applyAlignment="1">
      <alignment vertical="top" wrapText="1"/>
    </xf>
    <xf numFmtId="0" fontId="23" fillId="0" borderId="0" xfId="0" applyFont="1" applyAlignment="1">
      <alignment horizontal="center" vertical="center"/>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5"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9" fillId="0" borderId="0" xfId="0" applyFont="1" applyAlignment="1"/>
    <xf numFmtId="0" fontId="18" fillId="0" borderId="0" xfId="0" applyFont="1" applyAlignment="1"/>
    <xf numFmtId="0" fontId="19" fillId="0" borderId="36" xfId="0" applyFont="1" applyBorder="1" applyAlignment="1"/>
    <xf numFmtId="0" fontId="19" fillId="0" borderId="37" xfId="0" applyFont="1" applyBorder="1" applyAlignment="1"/>
    <xf numFmtId="0" fontId="18" fillId="0" borderId="37" xfId="0" applyFont="1" applyBorder="1" applyAlignment="1"/>
    <xf numFmtId="0" fontId="19" fillId="0" borderId="38" xfId="0" applyFont="1" applyBorder="1" applyAlignment="1"/>
    <xf numFmtId="0" fontId="19" fillId="0" borderId="39" xfId="0" applyFont="1" applyBorder="1" applyAlignment="1"/>
    <xf numFmtId="0" fontId="18" fillId="0" borderId="38" xfId="0" applyFont="1" applyBorder="1" applyAlignment="1"/>
    <xf numFmtId="0" fontId="18" fillId="0" borderId="0" xfId="0" applyFont="1" applyBorder="1" applyAlignment="1">
      <alignment vertical="center"/>
    </xf>
    <xf numFmtId="0" fontId="19" fillId="0" borderId="0" xfId="0" applyFont="1" applyBorder="1" applyAlignment="1"/>
    <xf numFmtId="0" fontId="18" fillId="0" borderId="0" xfId="0" applyFont="1" applyBorder="1" applyAlignment="1"/>
    <xf numFmtId="0" fontId="19" fillId="0" borderId="28" xfId="0" applyFont="1" applyBorder="1" applyAlignment="1"/>
    <xf numFmtId="0" fontId="19" fillId="0" borderId="0" xfId="0" applyFont="1" applyBorder="1" applyAlignment="1">
      <alignment horizontal="centerContinuous" vertical="center"/>
    </xf>
    <xf numFmtId="0" fontId="18" fillId="0" borderId="0" xfId="0" applyFont="1" applyBorder="1" applyAlignment="1">
      <alignment horizontal="centerContinuous" vertical="center"/>
    </xf>
    <xf numFmtId="0" fontId="18" fillId="0" borderId="28" xfId="0" applyFont="1" applyBorder="1" applyAlignment="1">
      <alignment horizontal="centerContinuous" vertical="center"/>
    </xf>
    <xf numFmtId="0" fontId="18" fillId="0" borderId="0" xfId="0" applyFont="1" applyAlignment="1">
      <alignment horizontal="centerContinuous" vertical="center"/>
    </xf>
    <xf numFmtId="0" fontId="18" fillId="0" borderId="36" xfId="0" applyFont="1" applyBorder="1" applyAlignment="1">
      <alignment horizontal="center" textRotation="90"/>
    </xf>
    <xf numFmtId="0" fontId="18" fillId="0" borderId="0" xfId="0" applyFont="1" applyBorder="1" applyAlignment="1">
      <alignment horizontal="center" textRotation="90"/>
    </xf>
    <xf numFmtId="0" fontId="18" fillId="0" borderId="28" xfId="0" applyFont="1" applyBorder="1" applyAlignment="1">
      <alignment horizontal="center" textRotation="90"/>
    </xf>
    <xf numFmtId="0" fontId="18" fillId="0" borderId="0" xfId="0" applyFont="1" applyAlignment="1">
      <alignment horizontal="center" textRotation="90"/>
    </xf>
    <xf numFmtId="0" fontId="22" fillId="0" borderId="0" xfId="0" applyFont="1" applyBorder="1" applyAlignment="1"/>
    <xf numFmtId="0" fontId="18" fillId="0" borderId="28" xfId="0" applyFont="1" applyBorder="1" applyAlignment="1"/>
    <xf numFmtId="0" fontId="18" fillId="0" borderId="0" xfId="0" applyFont="1" applyBorder="1" applyAlignment="1">
      <alignment horizontal="center"/>
    </xf>
    <xf numFmtId="0" fontId="19" fillId="0" borderId="0" xfId="0" applyFont="1" applyBorder="1"/>
    <xf numFmtId="0" fontId="19" fillId="0" borderId="28" xfId="0" applyFont="1" applyBorder="1"/>
    <xf numFmtId="0" fontId="19" fillId="0" borderId="0" xfId="0" applyFont="1"/>
    <xf numFmtId="0" fontId="19" fillId="0" borderId="36" xfId="0" applyFont="1" applyBorder="1"/>
    <xf numFmtId="0" fontId="18" fillId="0" borderId="28" xfId="0" applyFont="1" applyBorder="1" applyAlignment="1">
      <alignment horizontal="left"/>
    </xf>
    <xf numFmtId="0" fontId="18" fillId="0" borderId="0" xfId="0" applyFont="1" applyBorder="1" applyAlignment="1">
      <alignment horizontal="left"/>
    </xf>
    <xf numFmtId="1" fontId="18" fillId="0" borderId="51" xfId="0" applyNumberFormat="1" applyFont="1" applyBorder="1" applyAlignment="1">
      <alignment horizontal="center"/>
    </xf>
    <xf numFmtId="0" fontId="19" fillId="0" borderId="28" xfId="0" applyFont="1" applyBorder="1" applyAlignment="1">
      <alignment horizontal="left"/>
    </xf>
    <xf numFmtId="0" fontId="19" fillId="0" borderId="0" xfId="0" applyFont="1" applyBorder="1" applyAlignment="1">
      <alignment horizontal="left"/>
    </xf>
    <xf numFmtId="0" fontId="19" fillId="0" borderId="52" xfId="0" applyFont="1" applyBorder="1" applyAlignment="1"/>
    <xf numFmtId="0" fontId="18" fillId="0" borderId="52" xfId="0" applyFont="1" applyBorder="1" applyAlignment="1"/>
    <xf numFmtId="0" fontId="19" fillId="0" borderId="33" xfId="0" applyFont="1" applyBorder="1" applyAlignment="1"/>
    <xf numFmtId="0" fontId="19" fillId="0" borderId="53" xfId="0" applyFont="1" applyBorder="1" applyAlignment="1"/>
    <xf numFmtId="0" fontId="18" fillId="0" borderId="33" xfId="0" applyFont="1" applyBorder="1" applyAlignment="1"/>
    <xf numFmtId="0" fontId="35" fillId="0" borderId="0" xfId="0" applyFont="1" applyBorder="1" applyAlignment="1">
      <alignment horizontal="center" vertical="top" wrapText="1"/>
    </xf>
    <xf numFmtId="0" fontId="36" fillId="0" borderId="0" xfId="0" applyFont="1" applyBorder="1" applyAlignment="1">
      <alignment vertical="top" wrapText="1"/>
    </xf>
    <xf numFmtId="0" fontId="35" fillId="0" borderId="0" xfId="0" applyFont="1" applyBorder="1" applyAlignment="1">
      <alignment vertical="top" wrapText="1"/>
    </xf>
    <xf numFmtId="0" fontId="36"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7" fillId="2" borderId="20" xfId="0" applyFont="1" applyFill="1" applyBorder="1" applyAlignment="1">
      <alignment horizontal="center"/>
    </xf>
    <xf numFmtId="0" fontId="37" fillId="0" borderId="20" xfId="0" applyFont="1" applyBorder="1" applyAlignment="1">
      <alignment horizontal="center"/>
    </xf>
    <xf numFmtId="0" fontId="25" fillId="0" borderId="0" xfId="0" applyFont="1"/>
    <xf numFmtId="0" fontId="4" fillId="0" borderId="20" xfId="0" applyFont="1" applyFill="1" applyBorder="1" applyAlignment="1">
      <alignment horizontal="center" wrapText="1"/>
    </xf>
    <xf numFmtId="0" fontId="37" fillId="3" borderId="20" xfId="0" applyFont="1" applyFill="1" applyBorder="1" applyAlignment="1">
      <alignment horizontal="center"/>
    </xf>
    <xf numFmtId="0" fontId="37" fillId="4" borderId="20" xfId="0" applyFont="1" applyFill="1" applyBorder="1" applyAlignment="1">
      <alignment horizontal="center"/>
    </xf>
    <xf numFmtId="0" fontId="0" fillId="0" borderId="0" xfId="0" applyAlignment="1"/>
    <xf numFmtId="0" fontId="38" fillId="0" borderId="0" xfId="0" applyFont="1" applyAlignment="1">
      <alignment horizontal="left" vertical="center" readingOrder="1"/>
    </xf>
    <xf numFmtId="0" fontId="8" fillId="0" borderId="0" xfId="0" applyFont="1" applyBorder="1" applyAlignment="1">
      <alignment horizontal="left" vertical="top" wrapText="1"/>
    </xf>
    <xf numFmtId="0" fontId="30" fillId="0" borderId="0" xfId="0" applyFont="1" applyAlignment="1">
      <alignment horizontal="left" vertical="top" wrapText="1"/>
    </xf>
    <xf numFmtId="0" fontId="26" fillId="0" borderId="0" xfId="0" applyFont="1" applyFill="1" applyAlignment="1">
      <alignment horizontal="left"/>
    </xf>
    <xf numFmtId="0" fontId="3" fillId="0" borderId="55" xfId="0" applyFont="1" applyBorder="1" applyAlignment="1">
      <alignment horizontal="center" vertical="top" wrapText="1"/>
    </xf>
    <xf numFmtId="0" fontId="25" fillId="0" borderId="28" xfId="0" applyFont="1" applyBorder="1" applyAlignment="1">
      <alignment vertical="top" wrapText="1"/>
    </xf>
    <xf numFmtId="0" fontId="30"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 fillId="0" borderId="1" xfId="0" applyFont="1" applyFill="1" applyBorder="1" applyAlignment="1">
      <alignment horizontal="center" vertical="top" wrapText="1"/>
    </xf>
    <xf numFmtId="0" fontId="25" fillId="0" borderId="0" xfId="0" applyFont="1" applyAlignment="1">
      <alignment vertical="top"/>
    </xf>
    <xf numFmtId="0" fontId="25"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33" fillId="0" borderId="1" xfId="0" applyFont="1" applyBorder="1" applyAlignment="1">
      <alignment horizontal="center" vertical="top" wrapText="1"/>
    </xf>
    <xf numFmtId="0" fontId="9" fillId="0" borderId="3" xfId="0" applyFont="1" applyBorder="1"/>
    <xf numFmtId="0" fontId="33" fillId="0" borderId="0" xfId="0" applyFont="1" applyBorder="1" applyAlignment="1"/>
    <xf numFmtId="0" fontId="33" fillId="0" borderId="0" xfId="0" applyFont="1" applyFill="1" applyBorder="1" applyAlignment="1">
      <alignment vertical="top"/>
    </xf>
    <xf numFmtId="1" fontId="33" fillId="0" borderId="0" xfId="0" applyNumberFormat="1" applyFont="1" applyBorder="1" applyAlignment="1">
      <alignment horizontal="right"/>
    </xf>
    <xf numFmtId="0" fontId="41" fillId="0" borderId="0" xfId="0" applyFont="1" applyBorder="1" applyAlignment="1">
      <alignment horizontal="center" vertical="center" wrapText="1"/>
    </xf>
    <xf numFmtId="1" fontId="41" fillId="0" borderId="0" xfId="0" applyNumberFormat="1" applyFont="1" applyBorder="1" applyAlignment="1">
      <alignment horizontal="right" vertical="top" wrapText="1"/>
    </xf>
    <xf numFmtId="0" fontId="24" fillId="0" borderId="0" xfId="0" applyFont="1" applyBorder="1" applyAlignment="1">
      <alignment horizontal="center" vertical="top" wrapText="1"/>
    </xf>
    <xf numFmtId="0" fontId="42" fillId="0" borderId="0" xfId="0" applyFont="1" applyBorder="1"/>
    <xf numFmtId="0" fontId="24" fillId="0" borderId="1" xfId="0" applyFont="1" applyBorder="1" applyAlignment="1">
      <alignment horizontal="center" vertical="top" wrapText="1"/>
    </xf>
    <xf numFmtId="0" fontId="24" fillId="0" borderId="0" xfId="0" applyFont="1" applyFill="1" applyBorder="1" applyAlignment="1">
      <alignment vertical="top" wrapText="1"/>
    </xf>
    <xf numFmtId="0" fontId="24" fillId="0" borderId="0" xfId="0" applyFont="1" applyFill="1" applyBorder="1"/>
    <xf numFmtId="0" fontId="24" fillId="0" borderId="0" xfId="0" applyFont="1" applyFill="1" applyBorder="1" applyAlignment="1">
      <alignment horizontal="left" vertical="top" wrapText="1"/>
    </xf>
    <xf numFmtId="0" fontId="24"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6" fillId="0" borderId="7" xfId="0" applyFont="1" applyBorder="1"/>
    <xf numFmtId="0" fontId="2" fillId="0" borderId="18" xfId="0" applyFont="1" applyBorder="1" applyAlignment="1">
      <alignment horizontal="center"/>
    </xf>
    <xf numFmtId="0" fontId="5" fillId="0" borderId="0"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23" fillId="0" borderId="0" xfId="0" applyFont="1" applyAlignment="1">
      <alignment wrapText="1"/>
    </xf>
    <xf numFmtId="0" fontId="23" fillId="0" borderId="0" xfId="0" applyFont="1" applyAlignment="1">
      <alignment horizontal="center"/>
    </xf>
    <xf numFmtId="0" fontId="25" fillId="0" borderId="0" xfId="0" applyFont="1" applyAlignment="1">
      <alignment horizontal="center" vertical="center"/>
    </xf>
    <xf numFmtId="1" fontId="24"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29"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5"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8" fillId="0" borderId="0" xfId="0" applyFont="1" applyAlignment="1">
      <alignment vertical="top"/>
    </xf>
    <xf numFmtId="0" fontId="29" fillId="0" borderId="0" xfId="0" applyFont="1" applyAlignment="1">
      <alignment horizontal="center" vertical="center"/>
    </xf>
    <xf numFmtId="0" fontId="25" fillId="0" borderId="0" xfId="0" applyFont="1" applyAlignment="1">
      <alignment horizontal="left" vertical="top" wrapText="1" indent="3"/>
    </xf>
    <xf numFmtId="0" fontId="29" fillId="0" borderId="12" xfId="0" applyFont="1" applyBorder="1"/>
    <xf numFmtId="0" fontId="25" fillId="0" borderId="29" xfId="0" applyFont="1" applyBorder="1" applyAlignment="1">
      <alignment vertical="top" wrapText="1"/>
    </xf>
    <xf numFmtId="0" fontId="23" fillId="0" borderId="0" xfId="0" applyFont="1" applyAlignment="1">
      <alignment vertical="top" wrapText="1"/>
    </xf>
    <xf numFmtId="0" fontId="25"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5" fillId="0" borderId="0" xfId="0" applyFont="1" applyAlignment="1">
      <alignment vertical="top" wrapText="1"/>
    </xf>
    <xf numFmtId="0" fontId="24" fillId="0" borderId="0" xfId="0" applyFont="1" applyAlignment="1">
      <alignment horizontal="left" vertical="top" wrapText="1" indent="5"/>
    </xf>
    <xf numFmtId="0" fontId="25" fillId="0" borderId="0" xfId="0" applyFont="1" applyAlignment="1">
      <alignment horizontal="left" vertical="top" wrapText="1" indent="5"/>
    </xf>
    <xf numFmtId="0" fontId="5" fillId="0" borderId="28" xfId="0" applyFont="1" applyBorder="1" applyAlignment="1">
      <alignment horizontal="left" vertical="top" wrapText="1"/>
    </xf>
    <xf numFmtId="0" fontId="25" fillId="0" borderId="0" xfId="0" applyFont="1" applyAlignment="1">
      <alignment vertical="center" wrapText="1"/>
    </xf>
    <xf numFmtId="0" fontId="24" fillId="0" borderId="0" xfId="0" applyFont="1" applyAlignment="1">
      <alignment horizontal="left" vertical="top" wrapText="1" indent="5"/>
    </xf>
    <xf numFmtId="0" fontId="34" fillId="0" borderId="7" xfId="0" applyFont="1" applyBorder="1" applyAlignment="1">
      <alignment horizontal="center" vertical="center" wrapText="1"/>
    </xf>
    <xf numFmtId="0" fontId="5" fillId="0" borderId="28" xfId="0" applyFont="1" applyFill="1" applyBorder="1" applyAlignment="1">
      <alignment vertical="top" wrapText="1"/>
    </xf>
    <xf numFmtId="0" fontId="26" fillId="0" borderId="0" xfId="0" applyFont="1" applyAlignment="1">
      <alignment vertical="top" wrapText="1"/>
    </xf>
    <xf numFmtId="0" fontId="18" fillId="0" borderId="0" xfId="0" applyFont="1" applyBorder="1" applyAlignment="1">
      <alignment horizontal="center" vertical="center" textRotation="90"/>
    </xf>
    <xf numFmtId="0" fontId="18" fillId="0" borderId="37" xfId="0" applyFont="1" applyBorder="1" applyAlignment="1">
      <alignment horizontal="center" vertic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18" fillId="0" borderId="48" xfId="0" applyFont="1" applyBorder="1" applyAlignment="1">
      <alignment horizontal="center" vertical="center"/>
    </xf>
    <xf numFmtId="1" fontId="18" fillId="0" borderId="51" xfId="0" applyNumberFormat="1" applyFont="1" applyBorder="1" applyAlignment="1">
      <alignment horizontal="center" vertical="center"/>
    </xf>
    <xf numFmtId="0" fontId="18" fillId="0" borderId="52" xfId="0" applyFont="1" applyBorder="1" applyAlignment="1">
      <alignment horizontal="center" vertical="center"/>
    </xf>
    <xf numFmtId="0" fontId="18"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5" fillId="0" borderId="0" xfId="0" applyFont="1" applyAlignment="1">
      <alignment vertical="top" wrapText="1"/>
    </xf>
    <xf numFmtId="0" fontId="25" fillId="0" borderId="0" xfId="0" applyFont="1" applyAlignment="1">
      <alignment horizontal="left" vertical="top" wrapText="1"/>
    </xf>
    <xf numFmtId="0" fontId="24" fillId="0" borderId="0" xfId="0" applyFont="1" applyAlignment="1">
      <alignment horizontal="left" vertical="top" wrapText="1" indent="5"/>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5" fillId="0" borderId="0" xfId="0" applyFont="1" applyFill="1" applyBorder="1" applyAlignment="1">
      <alignment horizontal="left" vertical="top" wrapText="1"/>
    </xf>
    <xf numFmtId="0" fontId="33"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6" fillId="0" borderId="0" xfId="0" applyFont="1" applyBorder="1" applyAlignment="1">
      <alignment horizontal="center" vertical="top" wrapText="1"/>
    </xf>
    <xf numFmtId="0" fontId="36"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4" fillId="0" borderId="28" xfId="0" applyNumberFormat="1" applyFont="1" applyBorder="1" applyAlignment="1">
      <alignment horizontal="center" vertical="center" wrapText="1"/>
    </xf>
    <xf numFmtId="0" fontId="25" fillId="0" borderId="15" xfId="0" applyFont="1" applyBorder="1" applyAlignment="1">
      <alignment horizontal="right"/>
    </xf>
    <xf numFmtId="0" fontId="33" fillId="0" borderId="61" xfId="0" applyFont="1" applyBorder="1" applyAlignment="1">
      <alignment horizontal="center" vertical="top" wrapText="1"/>
    </xf>
    <xf numFmtId="164" fontId="25" fillId="0" borderId="5" xfId="0" applyNumberFormat="1" applyFont="1" applyBorder="1" applyAlignment="1">
      <alignment horizontal="center" vertical="center"/>
    </xf>
    <xf numFmtId="3" fontId="24" fillId="0" borderId="28" xfId="0" applyNumberFormat="1" applyFont="1" applyBorder="1" applyAlignment="1">
      <alignment horizontal="center" vertical="center" wrapText="1"/>
    </xf>
    <xf numFmtId="0" fontId="29" fillId="0" borderId="0" xfId="0" applyFont="1" applyAlignment="1">
      <alignment wrapText="1"/>
    </xf>
    <xf numFmtId="164" fontId="7" fillId="0" borderId="5" xfId="1" applyNumberFormat="1" applyFont="1" applyBorder="1" applyAlignment="1">
      <alignment horizontal="center" vertical="center"/>
    </xf>
    <xf numFmtId="0" fontId="26" fillId="0" borderId="52" xfId="0" applyFont="1" applyFill="1" applyBorder="1" applyAlignment="1">
      <alignment vertical="top" wrapText="1"/>
    </xf>
    <xf numFmtId="0" fontId="33" fillId="0" borderId="11" xfId="0" applyFont="1" applyBorder="1" applyAlignment="1">
      <alignment horizontal="center" wrapText="1"/>
    </xf>
    <xf numFmtId="0" fontId="33" fillId="0" borderId="18" xfId="0" applyFont="1" applyBorder="1" applyAlignment="1">
      <alignment horizontal="center" wrapText="1"/>
    </xf>
    <xf numFmtId="0" fontId="24" fillId="0" borderId="1" xfId="0" applyFont="1" applyFill="1" applyBorder="1" applyAlignment="1">
      <alignment horizontal="center" wrapText="1"/>
    </xf>
    <xf numFmtId="0" fontId="24" fillId="0" borderId="13" xfId="0" applyFont="1" applyFill="1" applyBorder="1" applyAlignment="1">
      <alignment horizontal="center" vertical="center" wrapText="1"/>
    </xf>
    <xf numFmtId="0" fontId="42" fillId="0" borderId="0" xfId="0" applyFont="1" applyBorder="1" applyAlignment="1">
      <alignment horizontal="right" vertical="center"/>
    </xf>
    <xf numFmtId="0" fontId="0" fillId="0" borderId="0" xfId="0" applyBorder="1" applyAlignment="1">
      <alignment horizontal="center" vertical="center"/>
    </xf>
    <xf numFmtId="0" fontId="42"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3" fillId="0" borderId="12" xfId="0" applyFont="1" applyBorder="1" applyAlignment="1">
      <alignment horizontal="center" vertical="top" wrapText="1"/>
    </xf>
    <xf numFmtId="0" fontId="25" fillId="0" borderId="37" xfId="0" applyFont="1" applyFill="1" applyBorder="1" applyAlignment="1">
      <alignment horizontal="left"/>
    </xf>
    <xf numFmtId="1" fontId="24" fillId="0" borderId="38" xfId="0" applyNumberFormat="1" applyFont="1" applyBorder="1" applyAlignment="1">
      <alignment horizontal="right" vertical="top" wrapText="1"/>
    </xf>
    <xf numFmtId="0" fontId="25" fillId="0" borderId="0" xfId="0" applyFont="1" applyAlignment="1">
      <alignment horizontal="center" vertical="top" wrapText="1"/>
    </xf>
    <xf numFmtId="0" fontId="1" fillId="0" borderId="15" xfId="0" applyFont="1" applyFill="1" applyBorder="1" applyAlignment="1">
      <alignment horizontal="right"/>
    </xf>
    <xf numFmtId="0" fontId="26" fillId="0" borderId="0" xfId="0" applyFont="1" applyFill="1" applyBorder="1" applyAlignment="1">
      <alignment horizontal="left" vertical="top" wrapText="1"/>
    </xf>
    <xf numFmtId="0" fontId="24" fillId="0" borderId="0" xfId="0" applyFont="1" applyFill="1" applyBorder="1" applyAlignment="1">
      <alignment horizontal="left"/>
    </xf>
    <xf numFmtId="164" fontId="25" fillId="0" borderId="26" xfId="0" applyNumberFormat="1" applyFont="1" applyBorder="1" applyAlignment="1">
      <alignment horizontal="center" vertical="center"/>
    </xf>
    <xf numFmtId="0" fontId="33" fillId="0" borderId="11" xfId="0" applyFont="1" applyBorder="1" applyAlignment="1">
      <alignment horizontal="left" wrapText="1"/>
    </xf>
    <xf numFmtId="1" fontId="24" fillId="0" borderId="0" xfId="0" applyNumberFormat="1" applyFont="1" applyBorder="1" applyAlignment="1">
      <alignment horizontal="left" vertical="top" wrapText="1"/>
    </xf>
    <xf numFmtId="0" fontId="26" fillId="0" borderId="52" xfId="0" applyFont="1" applyFill="1" applyBorder="1" applyAlignment="1">
      <alignment horizontal="left" vertical="top" wrapText="1"/>
    </xf>
    <xf numFmtId="0" fontId="33" fillId="0" borderId="61" xfId="0" applyFont="1" applyBorder="1" applyAlignment="1">
      <alignment horizontal="center" wrapText="1"/>
    </xf>
    <xf numFmtId="0" fontId="1" fillId="0" borderId="14" xfId="0" applyFont="1" applyFill="1" applyBorder="1" applyAlignment="1">
      <alignment horizontal="right"/>
    </xf>
    <xf numFmtId="0" fontId="28" fillId="0" borderId="0" xfId="0" applyFont="1" applyFill="1" applyAlignment="1">
      <alignment vertical="top" wrapText="1"/>
    </xf>
    <xf numFmtId="0" fontId="25" fillId="0" borderId="33" xfId="0" applyFont="1" applyFill="1" applyBorder="1" applyAlignment="1">
      <alignment vertical="top" wrapText="1"/>
    </xf>
    <xf numFmtId="0" fontId="1" fillId="0" borderId="0" xfId="0" applyFont="1" applyBorder="1" applyAlignment="1">
      <alignment horizontal="left" vertical="top" indent="3"/>
    </xf>
    <xf numFmtId="0" fontId="1" fillId="5" borderId="16" xfId="0" applyFont="1" applyFill="1" applyBorder="1" applyAlignment="1">
      <alignment horizontal="center"/>
    </xf>
    <xf numFmtId="0" fontId="26" fillId="0" borderId="0" xfId="0" applyFont="1" applyAlignment="1">
      <alignment wrapText="1"/>
    </xf>
    <xf numFmtId="0" fontId="25"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5"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6"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5" fillId="5" borderId="17" xfId="0" applyFont="1" applyFill="1" applyBorder="1" applyAlignment="1">
      <alignment horizontal="center"/>
    </xf>
    <xf numFmtId="0" fontId="5" fillId="5" borderId="2" xfId="0" applyFont="1" applyFill="1" applyBorder="1" applyAlignment="1">
      <alignment horizontal="center"/>
    </xf>
    <xf numFmtId="0" fontId="5" fillId="0" borderId="2" xfId="0" applyFont="1" applyBorder="1" applyAlignment="1">
      <alignment horizontal="center"/>
    </xf>
    <xf numFmtId="0" fontId="47" fillId="5" borderId="16" xfId="0" applyFont="1" applyFill="1" applyBorder="1" applyAlignment="1">
      <alignment horizontal="center" vertical="center"/>
    </xf>
    <xf numFmtId="0" fontId="25"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48" fillId="0" borderId="0" xfId="0" applyFont="1" applyBorder="1" applyAlignment="1">
      <alignment horizontal="center" vertical="center"/>
    </xf>
    <xf numFmtId="0" fontId="48"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7"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49" fillId="0" borderId="0" xfId="0" applyFont="1"/>
    <xf numFmtId="0" fontId="49" fillId="0" borderId="0" xfId="0" applyFont="1" applyAlignment="1"/>
    <xf numFmtId="0" fontId="45" fillId="0" borderId="63" xfId="0" applyFont="1" applyBorder="1" applyAlignment="1">
      <alignment horizontal="center" vertical="center"/>
    </xf>
    <xf numFmtId="0" fontId="0" fillId="0" borderId="32" xfId="0" applyBorder="1"/>
    <xf numFmtId="0" fontId="0" fillId="0" borderId="64" xfId="0" applyBorder="1"/>
    <xf numFmtId="0" fontId="45" fillId="0" borderId="63" xfId="0" applyFont="1" applyBorder="1"/>
    <xf numFmtId="0" fontId="45"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7" fillId="0" borderId="0" xfId="0" applyFont="1" applyFill="1" applyBorder="1" applyAlignment="1">
      <alignment horizontal="center"/>
    </xf>
    <xf numFmtId="1" fontId="20" fillId="0" borderId="28" xfId="0" applyNumberFormat="1" applyFont="1" applyFill="1" applyBorder="1" applyAlignment="1">
      <alignment horizontal="center" vertical="top" wrapText="1"/>
    </xf>
    <xf numFmtId="1" fontId="20" fillId="0" borderId="33" xfId="0" applyNumberFormat="1" applyFont="1" applyFill="1" applyBorder="1" applyAlignment="1">
      <alignment horizontal="center" vertical="top" wrapText="1"/>
    </xf>
    <xf numFmtId="1" fontId="41"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4" fillId="0" borderId="28" xfId="0" applyNumberFormat="1" applyFont="1" applyBorder="1" applyAlignment="1">
      <alignment horizontal="center" vertical="top" wrapText="1"/>
    </xf>
    <xf numFmtId="1" fontId="24" fillId="0" borderId="38" xfId="0" applyNumberFormat="1" applyFont="1" applyBorder="1" applyAlignment="1">
      <alignment horizontal="center" vertical="top" wrapText="1"/>
    </xf>
    <xf numFmtId="0" fontId="37" fillId="0" borderId="67" xfId="0" applyFont="1" applyBorder="1" applyAlignment="1">
      <alignment horizontal="center"/>
    </xf>
    <xf numFmtId="0" fontId="37" fillId="0" borderId="69" xfId="0" applyFont="1" applyBorder="1" applyAlignment="1">
      <alignment horizontal="center"/>
    </xf>
    <xf numFmtId="0" fontId="0" fillId="0" borderId="69" xfId="0" applyBorder="1"/>
    <xf numFmtId="0" fontId="0" fillId="0" borderId="35" xfId="0" applyBorder="1"/>
    <xf numFmtId="0" fontId="33" fillId="0" borderId="0" xfId="0" applyFont="1" applyBorder="1" applyAlignment="1">
      <alignment horizontal="center" vertical="center"/>
    </xf>
    <xf numFmtId="0" fontId="2" fillId="0" borderId="70" xfId="0" applyFont="1" applyBorder="1" applyAlignment="1">
      <alignment horizontal="center"/>
    </xf>
    <xf numFmtId="0" fontId="24" fillId="0" borderId="0" xfId="0" applyFont="1" applyAlignment="1">
      <alignment horizontal="left" vertical="top" wrapText="1" indent="5"/>
    </xf>
    <xf numFmtId="0" fontId="2" fillId="0" borderId="0" xfId="0" applyFont="1" applyAlignment="1">
      <alignment horizontal="left"/>
    </xf>
    <xf numFmtId="0" fontId="45"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5" fillId="0" borderId="0" xfId="0" applyNumberFormat="1" applyFont="1" applyAlignment="1">
      <alignment horizontal="center" vertical="center"/>
    </xf>
    <xf numFmtId="1" fontId="25" fillId="0" borderId="1" xfId="0" applyNumberFormat="1" applyFont="1" applyBorder="1" applyAlignment="1">
      <alignment horizontal="center" vertical="center"/>
    </xf>
    <xf numFmtId="1" fontId="1" fillId="0" borderId="0" xfId="0" applyNumberFormat="1" applyFont="1" applyAlignment="1">
      <alignment horizontal="center" vertical="center"/>
    </xf>
    <xf numFmtId="10" fontId="7" fillId="0" borderId="0" xfId="1" applyNumberFormat="1" applyFont="1" applyFill="1" applyAlignment="1">
      <alignment horizontal="center"/>
    </xf>
    <xf numFmtId="0" fontId="35" fillId="5" borderId="19" xfId="0" applyFont="1" applyFill="1" applyBorder="1" applyAlignment="1">
      <alignment vertical="top" wrapText="1"/>
    </xf>
    <xf numFmtId="0" fontId="35" fillId="5" borderId="2" xfId="0" applyFont="1" applyFill="1" applyBorder="1" applyAlignment="1">
      <alignment vertical="top" wrapText="1"/>
    </xf>
    <xf numFmtId="0" fontId="36" fillId="5" borderId="2" xfId="0" applyFont="1" applyFill="1" applyBorder="1" applyAlignment="1">
      <alignment vertical="top" wrapText="1"/>
    </xf>
    <xf numFmtId="0" fontId="1" fillId="0" borderId="4" xfId="0" applyFont="1" applyBorder="1"/>
    <xf numFmtId="0" fontId="0" fillId="0" borderId="12" xfId="0" applyBorder="1"/>
    <xf numFmtId="0" fontId="7" fillId="0" borderId="12" xfId="0" applyFont="1" applyBorder="1"/>
    <xf numFmtId="0" fontId="33"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1" fillId="0" borderId="17" xfId="0" applyFont="1" applyFill="1" applyBorder="1" applyAlignment="1">
      <alignment horizontal="right"/>
    </xf>
    <xf numFmtId="0" fontId="25"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5" fillId="0" borderId="0" xfId="0" applyNumberFormat="1" applyFont="1" applyAlignment="1">
      <alignment horizontal="center" vertical="center"/>
    </xf>
    <xf numFmtId="165" fontId="25" fillId="0" borderId="1" xfId="0" applyNumberFormat="1" applyFont="1" applyBorder="1" applyAlignment="1">
      <alignment horizontal="center" vertical="center"/>
    </xf>
    <xf numFmtId="0" fontId="51" fillId="0" borderId="0" xfId="0" applyFont="1"/>
    <xf numFmtId="0" fontId="50" fillId="0" borderId="0" xfId="0" applyFont="1"/>
    <xf numFmtId="0" fontId="50" fillId="0" borderId="0" xfId="0" applyFont="1" applyAlignment="1">
      <alignment horizontal="center"/>
    </xf>
    <xf numFmtId="0" fontId="28" fillId="0" borderId="70" xfId="0" applyFont="1" applyBorder="1" applyAlignment="1">
      <alignment horizontal="center"/>
    </xf>
    <xf numFmtId="0" fontId="2" fillId="0" borderId="0" xfId="0" applyFont="1" applyBorder="1" applyAlignment="1">
      <alignment horizontal="center"/>
    </xf>
    <xf numFmtId="0" fontId="28" fillId="0" borderId="0" xfId="0" applyFont="1" applyAlignment="1">
      <alignment horizontal="center" vertical="center"/>
    </xf>
    <xf numFmtId="0" fontId="3" fillId="0" borderId="0" xfId="0" applyFont="1" applyAlignment="1">
      <alignment horizontal="center" vertical="top" wrapText="1"/>
    </xf>
    <xf numFmtId="0" fontId="25" fillId="0" borderId="0" xfId="0" applyFont="1" applyAlignment="1">
      <alignment vertical="top" wrapText="1"/>
    </xf>
    <xf numFmtId="0" fontId="19" fillId="0" borderId="23"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41" xfId="0" applyFont="1" applyFill="1" applyBorder="1" applyAlignment="1">
      <alignment horizontal="center" vertical="center"/>
    </xf>
    <xf numFmtId="1" fontId="19" fillId="0" borderId="50" xfId="0" applyNumberFormat="1" applyFont="1" applyBorder="1" applyAlignment="1">
      <alignment horizontal="center" vertical="center"/>
    </xf>
    <xf numFmtId="0" fontId="19" fillId="0" borderId="40"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42"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46" xfId="0" applyFont="1" applyFill="1" applyBorder="1" applyAlignment="1">
      <alignment horizontal="center" vertical="center"/>
    </xf>
    <xf numFmtId="0" fontId="19" fillId="2" borderId="40" xfId="0" applyFont="1" applyFill="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1" fontId="19"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19"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1"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19" fillId="0" borderId="24" xfId="0" applyFont="1" applyBorder="1" applyAlignment="1">
      <alignment horizontal="center"/>
    </xf>
    <xf numFmtId="1" fontId="19"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8" fillId="0" borderId="48" xfId="0" applyFont="1" applyBorder="1" applyAlignment="1">
      <alignment horizontal="center"/>
    </xf>
    <xf numFmtId="0" fontId="19" fillId="0" borderId="45" xfId="0" applyFont="1" applyFill="1" applyBorder="1" applyAlignment="1">
      <alignment horizontal="center" vertical="center"/>
    </xf>
    <xf numFmtId="2" fontId="18" fillId="0" borderId="51" xfId="0" applyNumberFormat="1" applyFont="1" applyBorder="1" applyAlignment="1">
      <alignment horizontal="center"/>
    </xf>
    <xf numFmtId="2" fontId="3" fillId="0" borderId="5" xfId="0" applyNumberFormat="1" applyFont="1" applyBorder="1" applyAlignment="1">
      <alignment horizontal="center"/>
    </xf>
    <xf numFmtId="0" fontId="19" fillId="0" borderId="71" xfId="0" applyFont="1" applyBorder="1" applyAlignment="1"/>
    <xf numFmtId="0" fontId="18" fillId="0" borderId="71" xfId="0" applyFont="1" applyBorder="1" applyAlignment="1">
      <alignment horizontal="center" textRotation="90"/>
    </xf>
    <xf numFmtId="0" fontId="3" fillId="7" borderId="5" xfId="0" applyFont="1" applyFill="1" applyBorder="1" applyAlignment="1">
      <alignment horizontal="center"/>
    </xf>
    <xf numFmtId="0" fontId="1" fillId="7" borderId="16" xfId="0" applyFont="1" applyFill="1" applyBorder="1" applyAlignment="1">
      <alignment horizontal="center"/>
    </xf>
    <xf numFmtId="0" fontId="25" fillId="0" borderId="0" xfId="0" applyFont="1" applyAlignment="1">
      <alignment horizontal="left" vertical="top" wrapText="1"/>
    </xf>
    <xf numFmtId="0" fontId="31" fillId="0" borderId="20" xfId="0" applyFont="1" applyBorder="1" applyAlignment="1">
      <alignment horizontal="center" vertical="center" wrapText="1"/>
    </xf>
    <xf numFmtId="0" fontId="25" fillId="0" borderId="20" xfId="0" applyFont="1" applyBorder="1" applyAlignment="1">
      <alignment horizontal="left" vertical="top" wrapText="1"/>
    </xf>
    <xf numFmtId="0" fontId="9" fillId="5" borderId="15" xfId="0" applyFont="1" applyFill="1" applyBorder="1" applyAlignment="1"/>
    <xf numFmtId="0" fontId="44"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7" fillId="5" borderId="16" xfId="0" applyFont="1" applyFill="1" applyBorder="1" applyAlignment="1">
      <alignment horizontal="center" wrapText="1"/>
    </xf>
    <xf numFmtId="0" fontId="25" fillId="0" borderId="16" xfId="0" applyFont="1" applyBorder="1" applyAlignment="1">
      <alignment horizontal="right"/>
    </xf>
    <xf numFmtId="0" fontId="44" fillId="8" borderId="72" xfId="0" applyFont="1" applyFill="1" applyBorder="1" applyAlignment="1">
      <alignment horizontal="center" vertical="center" wrapText="1"/>
    </xf>
    <xf numFmtId="0" fontId="44" fillId="8" borderId="73" xfId="0" applyFont="1" applyFill="1" applyBorder="1" applyAlignment="1">
      <alignment horizontal="center" vertical="center" wrapText="1"/>
    </xf>
    <xf numFmtId="0" fontId="43" fillId="0" borderId="11" xfId="0" applyFont="1" applyBorder="1" applyAlignment="1">
      <alignment horizontal="center" wrapText="1"/>
    </xf>
    <xf numFmtId="0" fontId="33" fillId="0" borderId="0" xfId="0" applyFont="1" applyBorder="1" applyAlignment="1">
      <alignment horizontal="center" vertical="center" wrapText="1"/>
    </xf>
    <xf numFmtId="0" fontId="2" fillId="0" borderId="70" xfId="0" applyFont="1" applyBorder="1" applyAlignment="1">
      <alignment horizontal="center" wrapText="1"/>
    </xf>
    <xf numFmtId="0" fontId="23"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6" fillId="0" borderId="0" xfId="0" applyFont="1" applyFill="1" applyBorder="1" applyAlignment="1">
      <alignment horizontal="center" vertical="center" wrapText="1"/>
    </xf>
    <xf numFmtId="0" fontId="24" fillId="0" borderId="0" xfId="0" applyFont="1" applyFill="1" applyBorder="1" applyAlignment="1">
      <alignment horizontal="left" wrapText="1"/>
    </xf>
    <xf numFmtId="0" fontId="25" fillId="0" borderId="0" xfId="0" applyFont="1" applyFill="1" applyBorder="1" applyAlignment="1">
      <alignment horizontal="left" wrapText="1"/>
    </xf>
    <xf numFmtId="0" fontId="25"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5" fillId="0" borderId="0" xfId="0" applyFont="1" applyAlignment="1">
      <alignment wrapText="1"/>
    </xf>
    <xf numFmtId="0" fontId="32"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top" wrapText="1"/>
    </xf>
    <xf numFmtId="0" fontId="25" fillId="0" borderId="28" xfId="0" applyFont="1" applyBorder="1" applyAlignment="1">
      <alignment horizontal="left" vertical="top" wrapText="1"/>
    </xf>
    <xf numFmtId="0" fontId="25" fillId="0" borderId="0" xfId="0" applyFont="1" applyFill="1" applyAlignment="1">
      <alignment vertical="top" wrapText="1"/>
    </xf>
    <xf numFmtId="0" fontId="28" fillId="0" borderId="0" xfId="0" applyFont="1" applyAlignment="1"/>
    <xf numFmtId="0" fontId="5" fillId="0" borderId="0" xfId="0" applyFont="1" applyAlignment="1">
      <alignment horizontal="center"/>
    </xf>
    <xf numFmtId="0" fontId="54" fillId="0" borderId="0" xfId="0" applyFont="1" applyAlignment="1">
      <alignment horizontal="center"/>
    </xf>
    <xf numFmtId="0" fontId="55"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4" fillId="0" borderId="0" xfId="0" applyFont="1" applyAlignment="1">
      <alignment wrapText="1"/>
    </xf>
    <xf numFmtId="0" fontId="56" fillId="0" borderId="0" xfId="0" applyFont="1"/>
    <xf numFmtId="0" fontId="54" fillId="0" borderId="0" xfId="0" applyFont="1"/>
    <xf numFmtId="0" fontId="25" fillId="0" borderId="0" xfId="0" applyFont="1" applyAlignment="1">
      <alignment vertical="top" wrapText="1"/>
    </xf>
    <xf numFmtId="0" fontId="2" fillId="0" borderId="1" xfId="0" applyFont="1" applyBorder="1" applyAlignment="1">
      <alignment horizontal="left" vertical="top"/>
    </xf>
    <xf numFmtId="0" fontId="1" fillId="0" borderId="15" xfId="0" applyFont="1" applyBorder="1" applyAlignment="1"/>
    <xf numFmtId="0" fontId="1" fillId="0" borderId="16" xfId="0" applyFont="1" applyBorder="1" applyAlignment="1"/>
    <xf numFmtId="0" fontId="1" fillId="0" borderId="14" xfId="0" applyFont="1" applyBorder="1" applyAlignment="1"/>
    <xf numFmtId="164" fontId="25" fillId="0" borderId="5" xfId="0" applyNumberFormat="1" applyFont="1" applyBorder="1" applyAlignment="1">
      <alignment horizontal="center"/>
    </xf>
    <xf numFmtId="0" fontId="5" fillId="0" borderId="0" xfId="0" applyFont="1" applyFill="1" applyBorder="1" applyAlignment="1">
      <alignment horizontal="center" vertical="center"/>
    </xf>
    <xf numFmtId="164" fontId="25" fillId="0" borderId="0" xfId="0" applyNumberFormat="1" applyFont="1" applyAlignment="1">
      <alignment horizontal="center"/>
    </xf>
    <xf numFmtId="0" fontId="2" fillId="0" borderId="11" xfId="0" applyFont="1" applyBorder="1" applyAlignment="1">
      <alignment horizontal="center" vertical="center"/>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5" fillId="0" borderId="28" xfId="0" applyFont="1" applyBorder="1" applyAlignment="1">
      <alignment horizontal="left" vertical="top" wrapText="1"/>
    </xf>
    <xf numFmtId="0" fontId="25" fillId="0" borderId="0" xfId="0" applyFont="1" applyBorder="1" applyAlignment="1">
      <alignment vertical="top"/>
    </xf>
    <xf numFmtId="0" fontId="25" fillId="0" borderId="28" xfId="0" applyFont="1" applyBorder="1" applyAlignment="1">
      <alignment vertical="top"/>
    </xf>
    <xf numFmtId="0" fontId="5" fillId="0" borderId="0" xfId="0" applyFont="1" applyFill="1" applyBorder="1" applyAlignment="1">
      <alignment horizontal="left" vertical="top" wrapText="1"/>
    </xf>
    <xf numFmtId="0" fontId="25" fillId="0" borderId="0" xfId="0" applyFont="1" applyBorder="1" applyAlignment="1">
      <alignment horizontal="left" vertical="top" wrapText="1"/>
    </xf>
    <xf numFmtId="0" fontId="1" fillId="0" borderId="15" xfId="0" applyFont="1" applyFill="1" applyBorder="1" applyAlignment="1">
      <alignment horizontal="center"/>
    </xf>
    <xf numFmtId="0" fontId="25" fillId="0" borderId="5" xfId="0" applyFont="1" applyBorder="1" applyAlignment="1">
      <alignment horizontal="left" vertical="top" wrapText="1"/>
    </xf>
    <xf numFmtId="0" fontId="1" fillId="0" borderId="67" xfId="0" applyFont="1" applyBorder="1" applyAlignment="1">
      <alignment horizontal="left" vertical="top"/>
    </xf>
    <xf numFmtId="164" fontId="25"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19" fillId="0" borderId="76" xfId="0" applyNumberFormat="1" applyFont="1" applyFill="1" applyBorder="1" applyAlignment="1">
      <alignment horizontal="center" vertical="center"/>
    </xf>
    <xf numFmtId="0" fontId="18" fillId="0" borderId="75" xfId="0" applyFont="1" applyBorder="1" applyAlignment="1">
      <alignment horizontal="center" textRotation="45" wrapText="1"/>
    </xf>
    <xf numFmtId="0" fontId="19" fillId="0" borderId="22" xfId="0" applyFont="1" applyFill="1" applyBorder="1" applyAlignment="1">
      <alignment horizontal="center" vertical="center"/>
    </xf>
    <xf numFmtId="0" fontId="19" fillId="0" borderId="77" xfId="0" applyFont="1" applyBorder="1" applyAlignment="1"/>
    <xf numFmtId="1" fontId="19" fillId="2" borderId="35" xfId="0" applyNumberFormat="1" applyFont="1" applyFill="1" applyBorder="1" applyAlignment="1">
      <alignment horizontal="center" vertical="center"/>
    </xf>
    <xf numFmtId="2" fontId="19" fillId="0" borderId="46" xfId="0" applyNumberFormat="1" applyFont="1" applyBorder="1" applyAlignment="1">
      <alignment horizontal="center" vertical="center"/>
    </xf>
    <xf numFmtId="0" fontId="19"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19"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19" fillId="0" borderId="46" xfId="0" applyNumberFormat="1" applyFont="1" applyBorder="1" applyAlignment="1">
      <alignment horizontal="center" vertical="center"/>
    </xf>
    <xf numFmtId="1" fontId="19" fillId="0" borderId="80" xfId="0" applyNumberFormat="1" applyFont="1" applyBorder="1" applyAlignment="1">
      <alignment horizontal="center" vertical="center"/>
    </xf>
    <xf numFmtId="0" fontId="19" fillId="0" borderId="78" xfId="0" applyFont="1" applyBorder="1" applyAlignment="1">
      <alignment horizontal="center"/>
    </xf>
    <xf numFmtId="1" fontId="19" fillId="0" borderId="80" xfId="0" applyNumberFormat="1" applyFont="1" applyBorder="1" applyAlignment="1">
      <alignment horizontal="center"/>
    </xf>
    <xf numFmtId="0" fontId="19" fillId="0" borderId="66" xfId="0" applyFont="1" applyFill="1" applyBorder="1" applyAlignment="1">
      <alignment horizontal="center" vertical="center"/>
    </xf>
    <xf numFmtId="0" fontId="19" fillId="0" borderId="50" xfId="0" applyFont="1" applyFill="1" applyBorder="1" applyAlignment="1">
      <alignment horizontal="center" vertical="center"/>
    </xf>
    <xf numFmtId="164" fontId="19" fillId="2" borderId="76" xfId="0" applyNumberFormat="1" applyFont="1" applyFill="1" applyBorder="1" applyAlignment="1">
      <alignment horizontal="center" vertical="center"/>
    </xf>
    <xf numFmtId="0" fontId="18" fillId="0" borderId="82" xfId="0" applyFont="1" applyBorder="1" applyAlignment="1">
      <alignment horizontal="center" textRotation="45" wrapText="1"/>
    </xf>
    <xf numFmtId="164" fontId="19" fillId="2" borderId="83" xfId="0" applyNumberFormat="1" applyFont="1" applyFill="1" applyBorder="1" applyAlignment="1">
      <alignment horizontal="center" vertical="center"/>
    </xf>
    <xf numFmtId="164" fontId="19" fillId="2" borderId="84" xfId="0" applyNumberFormat="1" applyFont="1" applyFill="1" applyBorder="1" applyAlignment="1">
      <alignment horizontal="center" vertical="center"/>
    </xf>
    <xf numFmtId="0" fontId="18" fillId="0" borderId="85" xfId="0" applyFont="1" applyBorder="1" applyAlignment="1">
      <alignment horizontal="center" textRotation="45" wrapText="1"/>
    </xf>
    <xf numFmtId="1" fontId="19" fillId="0" borderId="75" xfId="0" applyNumberFormat="1" applyFont="1" applyFill="1" applyBorder="1" applyAlignment="1">
      <alignment horizontal="center" vertical="center"/>
    </xf>
    <xf numFmtId="1" fontId="19" fillId="0" borderId="86" xfId="0" applyNumberFormat="1" applyFont="1" applyFill="1" applyBorder="1" applyAlignment="1">
      <alignment horizontal="center" vertical="center"/>
    </xf>
    <xf numFmtId="164" fontId="19" fillId="2" borderId="87" xfId="0" applyNumberFormat="1" applyFont="1" applyFill="1" applyBorder="1" applyAlignment="1">
      <alignment horizontal="center" vertical="center"/>
    </xf>
    <xf numFmtId="0" fontId="22" fillId="0" borderId="67" xfId="0" applyFont="1" applyBorder="1" applyAlignment="1"/>
    <xf numFmtId="0" fontId="18" fillId="0" borderId="88" xfId="0" applyFont="1" applyBorder="1" applyAlignment="1">
      <alignment horizontal="center" textRotation="45" wrapText="1"/>
    </xf>
    <xf numFmtId="164" fontId="19"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19" fillId="0" borderId="66" xfId="0" applyFont="1" applyBorder="1" applyAlignment="1">
      <alignment horizontal="center" vertical="center"/>
    </xf>
    <xf numFmtId="0" fontId="19" fillId="2" borderId="47" xfId="0" applyFont="1" applyFill="1" applyBorder="1" applyAlignment="1">
      <alignment horizontal="center" vertical="center"/>
    </xf>
    <xf numFmtId="0" fontId="19" fillId="0" borderId="49" xfId="0" applyFont="1" applyBorder="1" applyAlignment="1">
      <alignment horizontal="center" vertical="center"/>
    </xf>
    <xf numFmtId="1" fontId="19" fillId="0" borderId="43" xfId="0" applyNumberFormat="1" applyFont="1" applyBorder="1" applyAlignment="1">
      <alignment horizontal="center" vertical="center"/>
    </xf>
    <xf numFmtId="0" fontId="19" fillId="0" borderId="77" xfId="0" applyFont="1" applyBorder="1"/>
    <xf numFmtId="0" fontId="19" fillId="2" borderId="44" xfId="0" applyFont="1" applyFill="1" applyBorder="1" applyAlignment="1">
      <alignment horizontal="center" vertical="center"/>
    </xf>
    <xf numFmtId="164" fontId="19" fillId="2" borderId="81" xfId="0" applyNumberFormat="1" applyFont="1" applyFill="1" applyBorder="1" applyAlignment="1">
      <alignment horizontal="center" vertical="center"/>
    </xf>
    <xf numFmtId="164" fontId="19" fillId="2" borderId="82" xfId="0" applyNumberFormat="1" applyFont="1" applyFill="1" applyBorder="1" applyAlignment="1">
      <alignment horizontal="center" vertical="center"/>
    </xf>
    <xf numFmtId="10" fontId="19" fillId="2" borderId="26" xfId="0" applyNumberFormat="1" applyFont="1" applyFill="1" applyBorder="1" applyAlignment="1">
      <alignment horizontal="center" vertical="center"/>
    </xf>
    <xf numFmtId="10" fontId="19" fillId="2" borderId="76" xfId="0" applyNumberFormat="1" applyFont="1" applyFill="1" applyBorder="1" applyAlignment="1">
      <alignment horizontal="center" vertical="center"/>
    </xf>
    <xf numFmtId="0" fontId="19" fillId="0" borderId="25" xfId="0" applyFont="1" applyBorder="1" applyAlignment="1">
      <alignment horizontal="center"/>
    </xf>
    <xf numFmtId="1" fontId="19" fillId="0" borderId="46" xfId="0" applyNumberFormat="1" applyFont="1" applyBorder="1" applyAlignment="1">
      <alignment horizontal="center"/>
    </xf>
    <xf numFmtId="0" fontId="19" fillId="2" borderId="35" xfId="0" applyFont="1" applyFill="1" applyBorder="1" applyAlignment="1">
      <alignment horizontal="center" vertical="center"/>
    </xf>
    <xf numFmtId="1" fontId="19" fillId="0" borderId="90" xfId="0" applyNumberFormat="1" applyFont="1" applyBorder="1" applyAlignment="1">
      <alignment horizontal="center" vertical="center"/>
    </xf>
    <xf numFmtId="0" fontId="19" fillId="0" borderId="34" xfId="0" applyFont="1" applyBorder="1" applyAlignment="1">
      <alignment horizontal="center" vertical="center"/>
    </xf>
    <xf numFmtId="1" fontId="19" fillId="0" borderId="91" xfId="0" applyNumberFormat="1" applyFont="1" applyFill="1" applyBorder="1" applyAlignment="1">
      <alignment horizontal="center" vertical="center"/>
    </xf>
    <xf numFmtId="0" fontId="19" fillId="0" borderId="79" xfId="0" applyFont="1" applyFill="1" applyBorder="1" applyAlignment="1">
      <alignment horizontal="center" vertical="center"/>
    </xf>
    <xf numFmtId="0" fontId="19" fillId="0" borderId="78" xfId="0" applyFont="1" applyFill="1" applyBorder="1" applyAlignment="1">
      <alignment horizontal="center" vertical="center"/>
    </xf>
    <xf numFmtId="0" fontId="19" fillId="0" borderId="80" xfId="0" applyFont="1" applyFill="1" applyBorder="1" applyAlignment="1">
      <alignment horizontal="center" vertical="center"/>
    </xf>
    <xf numFmtId="0" fontId="24" fillId="0" borderId="0" xfId="0" applyFont="1" applyBorder="1" applyAlignment="1">
      <alignment horizontal="center" vertical="center" wrapText="1"/>
    </xf>
    <xf numFmtId="0" fontId="5" fillId="0" borderId="20" xfId="0" applyFont="1" applyBorder="1" applyAlignment="1">
      <alignment horizontal="left" vertical="top" wrapText="1"/>
    </xf>
    <xf numFmtId="0" fontId="25" fillId="0" borderId="0" xfId="0" applyFont="1" applyAlignment="1">
      <alignment vertical="top" wrapText="1"/>
    </xf>
    <xf numFmtId="0" fontId="25" fillId="0" borderId="0" xfId="0" applyFont="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5" fillId="0" borderId="0" xfId="0" applyFont="1" applyFill="1" applyAlignment="1">
      <alignment horizontal="center" vertical="center" wrapText="1"/>
    </xf>
    <xf numFmtId="9" fontId="5" fillId="0" borderId="0" xfId="0" applyNumberFormat="1" applyFont="1" applyBorder="1" applyAlignment="1">
      <alignment horizontal="left" vertical="top" wrapText="1"/>
    </xf>
    <xf numFmtId="9" fontId="5" fillId="0" borderId="0" xfId="0" applyNumberFormat="1" applyFont="1" applyBorder="1" applyAlignment="1">
      <alignment horizontal="center"/>
    </xf>
    <xf numFmtId="9" fontId="5" fillId="0" borderId="0" xfId="0" applyNumberFormat="1" applyFont="1" applyAlignment="1">
      <alignment horizontal="left"/>
    </xf>
    <xf numFmtId="0" fontId="5" fillId="0" borderId="0" xfId="0" applyFont="1" applyFill="1" applyBorder="1" applyAlignment="1">
      <alignment horizontal="center"/>
    </xf>
    <xf numFmtId="0" fontId="5" fillId="0" borderId="16" xfId="0" applyFont="1" applyFill="1" applyBorder="1" applyAlignment="1">
      <alignment horizontal="center"/>
    </xf>
    <xf numFmtId="9" fontId="5" fillId="0" borderId="0" xfId="0" applyNumberFormat="1" applyFont="1" applyFill="1" applyBorder="1" applyAlignment="1">
      <alignment horizontal="left" vertical="top"/>
    </xf>
    <xf numFmtId="9" fontId="5" fillId="0" borderId="0" xfId="0" applyNumberFormat="1" applyFont="1" applyFill="1" applyBorder="1" applyAlignment="1">
      <alignment horizontal="left" vertical="top" indent="3"/>
    </xf>
    <xf numFmtId="0" fontId="5" fillId="0" borderId="2" xfId="0" applyFont="1" applyFill="1" applyBorder="1" applyAlignment="1">
      <alignment horizontal="center"/>
    </xf>
    <xf numFmtId="1" fontId="26" fillId="0" borderId="0" xfId="0" applyNumberFormat="1" applyFont="1" applyAlignment="1">
      <alignment horizontal="center" vertical="center"/>
    </xf>
    <xf numFmtId="0" fontId="26" fillId="0" borderId="0" xfId="0" applyFont="1" applyAlignment="1">
      <alignment horizontal="center" vertical="center" wrapText="1"/>
    </xf>
    <xf numFmtId="0" fontId="25" fillId="0" borderId="16" xfId="0" applyFont="1" applyFill="1" applyBorder="1" applyAlignment="1">
      <alignment horizontal="right"/>
    </xf>
    <xf numFmtId="0" fontId="5" fillId="0" borderId="16" xfId="0" applyFont="1" applyFill="1" applyBorder="1" applyAlignment="1">
      <alignment horizontal="right" vertical="center"/>
    </xf>
    <xf numFmtId="0" fontId="25" fillId="0" borderId="0" xfId="0" applyFont="1" applyBorder="1" applyAlignment="1">
      <alignment vertical="top" wrapText="1"/>
    </xf>
    <xf numFmtId="0" fontId="25" fillId="0" borderId="0" xfId="0" applyFont="1" applyAlignment="1">
      <alignment vertical="top" wrapText="1"/>
    </xf>
    <xf numFmtId="0" fontId="25" fillId="0" borderId="0" xfId="0" applyFont="1" applyAlignment="1">
      <alignment horizontal="left" vertical="top" wrapText="1"/>
    </xf>
    <xf numFmtId="0" fontId="28" fillId="0" borderId="0" xfId="0" applyFont="1" applyAlignment="1">
      <alignment horizontal="left" vertical="top" wrapText="1"/>
    </xf>
    <xf numFmtId="0" fontId="24"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5" fillId="0" borderId="54" xfId="0" applyFont="1" applyBorder="1" applyAlignment="1">
      <alignment horizontal="left" vertical="top" wrapText="1"/>
    </xf>
    <xf numFmtId="0" fontId="25" fillId="0" borderId="9" xfId="0" applyFont="1" applyBorder="1" applyAlignment="1">
      <alignment horizontal="left" vertical="top" wrapText="1"/>
    </xf>
    <xf numFmtId="0" fontId="5" fillId="0" borderId="59" xfId="0" applyFont="1" applyBorder="1" applyAlignment="1">
      <alignment horizontal="left" vertical="top" wrapText="1"/>
    </xf>
    <xf numFmtId="0" fontId="24"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3" fillId="0" borderId="0" xfId="0" applyFont="1" applyAlignment="1">
      <alignment horizontal="left" vertical="top"/>
    </xf>
    <xf numFmtId="0" fontId="1" fillId="0" borderId="34" xfId="0" applyFont="1" applyBorder="1" applyAlignment="1">
      <alignment horizontal="left" vertical="top" wrapText="1"/>
    </xf>
    <xf numFmtId="0" fontId="40" fillId="0" borderId="13" xfId="0" applyFont="1" applyBorder="1" applyAlignment="1">
      <alignment horizontal="left" wrapText="1"/>
    </xf>
    <xf numFmtId="0" fontId="40" fillId="0" borderId="27" xfId="0" applyFont="1" applyBorder="1" applyAlignment="1">
      <alignment horizontal="left" wrapText="1"/>
    </xf>
    <xf numFmtId="0" fontId="28" fillId="0" borderId="1" xfId="0" applyFont="1" applyBorder="1" applyAlignment="1">
      <alignment horizontal="left" vertical="top" wrapText="1"/>
    </xf>
    <xf numFmtId="0" fontId="28" fillId="0" borderId="28" xfId="0" applyFont="1" applyBorder="1" applyAlignment="1">
      <alignment horizontal="left" vertical="top" wrapText="1"/>
    </xf>
    <xf numFmtId="0" fontId="28" fillId="0" borderId="1" xfId="0" applyFont="1" applyBorder="1" applyAlignment="1">
      <alignment horizontal="left" vertical="top"/>
    </xf>
    <xf numFmtId="0" fontId="28" fillId="0" borderId="28" xfId="0" applyFont="1" applyBorder="1" applyAlignment="1">
      <alignment horizontal="left" vertical="top"/>
    </xf>
    <xf numFmtId="0" fontId="33" fillId="0" borderId="0" xfId="0" applyFont="1" applyBorder="1" applyAlignment="1">
      <alignment horizontal="left" vertical="top"/>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17" fillId="0" borderId="31" xfId="0" applyFont="1" applyBorder="1" applyAlignment="1">
      <alignment horizontal="center" vertical="top" wrapText="1"/>
    </xf>
    <xf numFmtId="0" fontId="17" fillId="0" borderId="30" xfId="0" applyFont="1" applyBorder="1" applyAlignment="1">
      <alignment horizontal="center" vertical="top" wrapText="1"/>
    </xf>
    <xf numFmtId="0" fontId="25" fillId="0" borderId="0" xfId="0" applyFont="1" applyAlignment="1">
      <alignment horizontal="right"/>
    </xf>
    <xf numFmtId="0" fontId="5" fillId="0" borderId="0" xfId="0" applyFont="1" applyBorder="1" applyAlignment="1">
      <alignment horizontal="right" vertical="center"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1" fillId="0" borderId="54" xfId="0" applyFont="1" applyBorder="1" applyAlignment="1">
      <alignment horizontal="left" vertical="top"/>
    </xf>
    <xf numFmtId="0" fontId="0" fillId="0" borderId="9" xfId="0" applyBorder="1" applyAlignment="1">
      <alignment horizontal="left" vertical="top"/>
    </xf>
    <xf numFmtId="0" fontId="24" fillId="0" borderId="62" xfId="0" applyFont="1" applyBorder="1" applyAlignment="1">
      <alignment horizontal="left" vertical="top" wrapText="1"/>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33" fillId="0" borderId="1" xfId="0" applyFont="1" applyBorder="1" applyAlignment="1">
      <alignment horizontal="left" vertical="top" wrapText="1"/>
    </xf>
    <xf numFmtId="0" fontId="33" fillId="0" borderId="0" xfId="0" applyFont="1" applyBorder="1" applyAlignment="1">
      <alignment horizontal="left" vertical="top" wrapText="1"/>
    </xf>
    <xf numFmtId="0" fontId="28" fillId="0" borderId="0" xfId="0" applyFont="1" applyBorder="1" applyAlignment="1">
      <alignment horizontal="left" vertical="top"/>
    </xf>
    <xf numFmtId="0" fontId="2" fillId="0" borderId="6" xfId="0" applyFont="1" applyBorder="1" applyAlignment="1">
      <alignment horizontal="left"/>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4" fillId="0" borderId="0" xfId="0" applyFont="1" applyAlignment="1">
      <alignment vertical="top" wrapText="1"/>
    </xf>
    <xf numFmtId="0" fontId="5" fillId="0" borderId="0" xfId="0" applyFont="1" applyAlignment="1">
      <alignment horizontal="right"/>
    </xf>
    <xf numFmtId="0" fontId="23" fillId="0" borderId="47" xfId="0" applyFont="1" applyBorder="1" applyAlignment="1">
      <alignment horizontal="center"/>
    </xf>
    <xf numFmtId="0" fontId="29" fillId="0" borderId="0" xfId="0" applyFont="1" applyAlignment="1">
      <alignment horizontal="left" vertical="center" wrapText="1" readingOrder="1"/>
    </xf>
  </cellXfs>
  <cellStyles count="2">
    <cellStyle name="Normal" xfId="0" builtinId="0"/>
    <cellStyle name="Percent" xfId="1" builtinId="5"/>
  </cellStyles>
  <dxfs count="36">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66" lockText="1"/>
</file>

<file path=xl/ctrlProps/ctrlProp101.xml><?xml version="1.0" encoding="utf-8"?>
<formControlPr xmlns="http://schemas.microsoft.com/office/spreadsheetml/2009/9/main" objectType="CheckBox" fmlaLink="$B$167" lockText="1"/>
</file>

<file path=xl/ctrlProps/ctrlProp102.xml><?xml version="1.0" encoding="utf-8"?>
<formControlPr xmlns="http://schemas.microsoft.com/office/spreadsheetml/2009/9/main" objectType="CheckBox" fmlaLink="$B$174" lockText="1"/>
</file>

<file path=xl/ctrlProps/ctrlProp103.xml><?xml version="1.0" encoding="utf-8"?>
<formControlPr xmlns="http://schemas.microsoft.com/office/spreadsheetml/2009/9/main" objectType="CheckBox" fmlaLink="$B$175" lockText="1"/>
</file>

<file path=xl/ctrlProps/ctrlProp104.xml><?xml version="1.0" encoding="utf-8"?>
<formControlPr xmlns="http://schemas.microsoft.com/office/spreadsheetml/2009/9/main" objectType="CheckBox" fmlaLink="$B$176" lockText="1"/>
</file>

<file path=xl/ctrlProps/ctrlProp105.xml><?xml version="1.0" encoding="utf-8"?>
<formControlPr xmlns="http://schemas.microsoft.com/office/spreadsheetml/2009/9/main" objectType="CheckBox" fmlaLink="$B$177" lockText="1"/>
</file>

<file path=xl/ctrlProps/ctrlProp106.xml><?xml version="1.0" encoding="utf-8"?>
<formControlPr xmlns="http://schemas.microsoft.com/office/spreadsheetml/2009/9/main" objectType="CheckBox" fmlaLink="$B$178" lockText="1"/>
</file>

<file path=xl/ctrlProps/ctrlProp107.xml><?xml version="1.0" encoding="utf-8"?>
<formControlPr xmlns="http://schemas.microsoft.com/office/spreadsheetml/2009/9/main" objectType="CheckBox" fmlaLink="$B$179" lockText="1"/>
</file>

<file path=xl/ctrlProps/ctrlProp108.xml><?xml version="1.0" encoding="utf-8"?>
<formControlPr xmlns="http://schemas.microsoft.com/office/spreadsheetml/2009/9/main" objectType="CheckBox" fmlaLink="$B$180" lockText="1"/>
</file>

<file path=xl/ctrlProps/ctrlProp109.xml><?xml version="1.0" encoding="utf-8"?>
<formControlPr xmlns="http://schemas.microsoft.com/office/spreadsheetml/2009/9/main" objectType="CheckBox" fmlaLink="$B$187"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88" lockText="1"/>
</file>

<file path=xl/ctrlProps/ctrlProp111.xml><?xml version="1.0" encoding="utf-8"?>
<formControlPr xmlns="http://schemas.microsoft.com/office/spreadsheetml/2009/9/main" objectType="CheckBox" fmlaLink="$B$189" lockText="1"/>
</file>

<file path=xl/ctrlProps/ctrlProp112.xml><?xml version="1.0" encoding="utf-8"?>
<formControlPr xmlns="http://schemas.microsoft.com/office/spreadsheetml/2009/9/main" objectType="CheckBox" fmlaLink="$B$190" lockText="1"/>
</file>

<file path=xl/ctrlProps/ctrlProp113.xml><?xml version="1.0" encoding="utf-8"?>
<formControlPr xmlns="http://schemas.microsoft.com/office/spreadsheetml/2009/9/main" objectType="CheckBox" fmlaLink="$B$191" lockText="1"/>
</file>

<file path=xl/ctrlProps/ctrlProp114.xml><?xml version="1.0" encoding="utf-8"?>
<formControlPr xmlns="http://schemas.microsoft.com/office/spreadsheetml/2009/9/main" objectType="CheckBox" fmlaLink="$B$192" lockText="1"/>
</file>

<file path=xl/ctrlProps/ctrlProp115.xml><?xml version="1.0" encoding="utf-8"?>
<formControlPr xmlns="http://schemas.microsoft.com/office/spreadsheetml/2009/9/main" objectType="CheckBox" fmlaLink="$B$193" lockText="1"/>
</file>

<file path=xl/ctrlProps/ctrlProp116.xml><?xml version="1.0" encoding="utf-8"?>
<formControlPr xmlns="http://schemas.microsoft.com/office/spreadsheetml/2009/9/main" objectType="CheckBox" fmlaLink="$C$10" lockText="1"/>
</file>

<file path=xl/ctrlProps/ctrlProp117.xml><?xml version="1.0" encoding="utf-8"?>
<formControlPr xmlns="http://schemas.microsoft.com/office/spreadsheetml/2009/9/main" objectType="CheckBox" fmlaLink="$C$7" lockText="1"/>
</file>

<file path=xl/ctrlProps/ctrlProp118.xml><?xml version="1.0" encoding="utf-8"?>
<formControlPr xmlns="http://schemas.microsoft.com/office/spreadsheetml/2009/9/main" objectType="CheckBox" fmlaLink="$C$9" lockText="1"/>
</file>

<file path=xl/ctrlProps/ctrlProp119.xml><?xml version="1.0" encoding="utf-8"?>
<formControlPr xmlns="http://schemas.microsoft.com/office/spreadsheetml/2009/9/main" objectType="CheckBox" fmlaLink="$C$8"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C$9" lockText="1"/>
</file>

<file path=xl/ctrlProps/ctrlProp121.xml><?xml version="1.0" encoding="utf-8"?>
<formControlPr xmlns="http://schemas.microsoft.com/office/spreadsheetml/2009/9/main" objectType="CheckBox" fmlaLink="$C$10" lockText="1"/>
</file>

<file path=xl/ctrlProps/ctrlProp122.xml><?xml version="1.0" encoding="utf-8"?>
<formControlPr xmlns="http://schemas.microsoft.com/office/spreadsheetml/2009/9/main" objectType="CheckBox" fmlaLink="$D$8" lockText="1"/>
</file>

<file path=xl/ctrlProps/ctrlProp123.xml><?xml version="1.0" encoding="utf-8"?>
<formControlPr xmlns="http://schemas.microsoft.com/office/spreadsheetml/2009/9/main" objectType="CheckBox" fmlaLink="$D$9" lockText="1"/>
</file>

<file path=xl/ctrlProps/ctrlProp124.xml><?xml version="1.0" encoding="utf-8"?>
<formControlPr xmlns="http://schemas.microsoft.com/office/spreadsheetml/2009/9/main" objectType="CheckBox" fmlaLink="$D$10" lockText="1"/>
</file>

<file path=xl/ctrlProps/ctrlProp125.xml><?xml version="1.0" encoding="utf-8"?>
<formControlPr xmlns="http://schemas.microsoft.com/office/spreadsheetml/2009/9/main" objectType="CheckBox" fmlaLink="$D$11" lockText="1"/>
</file>

<file path=xl/ctrlProps/ctrlProp126.xml><?xml version="1.0" encoding="utf-8"?>
<formControlPr xmlns="http://schemas.microsoft.com/office/spreadsheetml/2009/9/main" objectType="CheckBox" fmlaLink="$C$8" lockText="1"/>
</file>

<file path=xl/ctrlProps/ctrlProp127.xml><?xml version="1.0" encoding="utf-8"?>
<formControlPr xmlns="http://schemas.microsoft.com/office/spreadsheetml/2009/9/main" objectType="CheckBox" fmlaLink="$C$9" lockText="1"/>
</file>

<file path=xl/ctrlProps/ctrlProp128.xml><?xml version="1.0" encoding="utf-8"?>
<formControlPr xmlns="http://schemas.microsoft.com/office/spreadsheetml/2009/9/main" objectType="CheckBox" fmlaLink="$C$10" lockText="1"/>
</file>

<file path=xl/ctrlProps/ctrlProp129.xml><?xml version="1.0" encoding="utf-8"?>
<formControlPr xmlns="http://schemas.microsoft.com/office/spreadsheetml/2009/9/main" objectType="CheckBox" fmlaLink="$C$11"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3" lockText="1"/>
</file>

<file path=xl/ctrlProps/ctrlProp131.xml><?xml version="1.0" encoding="utf-8"?>
<formControlPr xmlns="http://schemas.microsoft.com/office/spreadsheetml/2009/9/main" objectType="CheckBox" fmlaLink="$C$14" lockText="1"/>
</file>

<file path=xl/ctrlProps/ctrlProp132.xml><?xml version="1.0" encoding="utf-8"?>
<formControlPr xmlns="http://schemas.microsoft.com/office/spreadsheetml/2009/9/main" objectType="CheckBox" fmlaLink="$C$15" lockText="1"/>
</file>

<file path=xl/ctrlProps/ctrlProp133.xml><?xml version="1.0" encoding="utf-8"?>
<formControlPr xmlns="http://schemas.microsoft.com/office/spreadsheetml/2009/9/main" objectType="CheckBox" fmlaLink="$C$17" lockText="1"/>
</file>

<file path=xl/ctrlProps/ctrlProp134.xml><?xml version="1.0" encoding="utf-8"?>
<formControlPr xmlns="http://schemas.microsoft.com/office/spreadsheetml/2009/9/main" objectType="CheckBox" fmlaLink="$C$18" lockText="1"/>
</file>

<file path=xl/ctrlProps/ctrlProp135.xml><?xml version="1.0" encoding="utf-8"?>
<formControlPr xmlns="http://schemas.microsoft.com/office/spreadsheetml/2009/9/main" objectType="CheckBox" fmlaLink="$C$19" lockText="1"/>
</file>

<file path=xl/ctrlProps/ctrlProp136.xml><?xml version="1.0" encoding="utf-8"?>
<formControlPr xmlns="http://schemas.microsoft.com/office/spreadsheetml/2009/9/main" objectType="CheckBox" fmlaLink="$C$21" lockText="1"/>
</file>

<file path=xl/ctrlProps/ctrlProp137.xml><?xml version="1.0" encoding="utf-8"?>
<formControlPr xmlns="http://schemas.microsoft.com/office/spreadsheetml/2009/9/main" objectType="CheckBox" fmlaLink="$C$22" lockText="1"/>
</file>

<file path=xl/ctrlProps/ctrlProp138.xml><?xml version="1.0" encoding="utf-8"?>
<formControlPr xmlns="http://schemas.microsoft.com/office/spreadsheetml/2009/9/main" objectType="CheckBox" fmlaLink="$C$23" lockText="1"/>
</file>

<file path=xl/ctrlProps/ctrlProp139.xml><?xml version="1.0" encoding="utf-8"?>
<formControlPr xmlns="http://schemas.microsoft.com/office/spreadsheetml/2009/9/main" objectType="CheckBox" fmlaLink="$C$24"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C$25" lockText="1"/>
</file>

<file path=xl/ctrlProps/ctrlProp141.xml><?xml version="1.0" encoding="utf-8"?>
<formControlPr xmlns="http://schemas.microsoft.com/office/spreadsheetml/2009/9/main" objectType="CheckBox" fmlaLink="$C$26" lockText="1"/>
</file>

<file path=xl/ctrlProps/ctrlProp142.xml><?xml version="1.0" encoding="utf-8"?>
<formControlPr xmlns="http://schemas.microsoft.com/office/spreadsheetml/2009/9/main" objectType="CheckBox" fmlaLink="$C$27" lockText="1"/>
</file>

<file path=xl/ctrlProps/ctrlProp143.xml><?xml version="1.0" encoding="utf-8"?>
<formControlPr xmlns="http://schemas.microsoft.com/office/spreadsheetml/2009/9/main" objectType="CheckBox" fmlaLink="$C$28" lockText="1"/>
</file>

<file path=xl/ctrlProps/ctrlProp144.xml><?xml version="1.0" encoding="utf-8"?>
<formControlPr xmlns="http://schemas.microsoft.com/office/spreadsheetml/2009/9/main" objectType="CheckBox" fmlaLink="$C$29" lockText="1"/>
</file>

<file path=xl/ctrlProps/ctrlProp145.xml><?xml version="1.0" encoding="utf-8"?>
<formControlPr xmlns="http://schemas.microsoft.com/office/spreadsheetml/2009/9/main" objectType="CheckBox" fmlaLink="$C$30" lockText="1"/>
</file>

<file path=xl/ctrlProps/ctrlProp146.xml><?xml version="1.0" encoding="utf-8"?>
<formControlPr xmlns="http://schemas.microsoft.com/office/spreadsheetml/2009/9/main" objectType="CheckBox" fmlaLink="$D$8" lockText="1"/>
</file>

<file path=xl/ctrlProps/ctrlProp147.xml><?xml version="1.0" encoding="utf-8"?>
<formControlPr xmlns="http://schemas.microsoft.com/office/spreadsheetml/2009/9/main" objectType="CheckBox" fmlaLink="$D$9" lockText="1"/>
</file>

<file path=xl/ctrlProps/ctrlProp148.xml><?xml version="1.0" encoding="utf-8"?>
<formControlPr xmlns="http://schemas.microsoft.com/office/spreadsheetml/2009/9/main" objectType="CheckBox" fmlaLink="$D$12" lockText="1"/>
</file>

<file path=xl/ctrlProps/ctrlProp149.xml><?xml version="1.0" encoding="utf-8"?>
<formControlPr xmlns="http://schemas.microsoft.com/office/spreadsheetml/2009/9/main" objectType="CheckBox" fmlaLink="$D$13"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D$14" lockText="1"/>
</file>

<file path=xl/ctrlProps/ctrlProp151.xml><?xml version="1.0" encoding="utf-8"?>
<formControlPr xmlns="http://schemas.microsoft.com/office/spreadsheetml/2009/9/main" objectType="CheckBox" fmlaLink="$D$15" lockText="1"/>
</file>

<file path=xl/ctrlProps/ctrlProp152.xml><?xml version="1.0" encoding="utf-8"?>
<formControlPr xmlns="http://schemas.microsoft.com/office/spreadsheetml/2009/9/main" objectType="CheckBox" fmlaLink="$D$16" lockText="1"/>
</file>

<file path=xl/ctrlProps/ctrlProp153.xml><?xml version="1.0" encoding="utf-8"?>
<formControlPr xmlns="http://schemas.microsoft.com/office/spreadsheetml/2009/9/main" objectType="CheckBox" fmlaLink="$D$17" lockText="1"/>
</file>

<file path=xl/ctrlProps/ctrlProp154.xml><?xml version="1.0" encoding="utf-8"?>
<formControlPr xmlns="http://schemas.microsoft.com/office/spreadsheetml/2009/9/main" objectType="CheckBox" fmlaLink="$D$18" lockText="1"/>
</file>

<file path=xl/ctrlProps/ctrlProp155.xml><?xml version="1.0" encoding="utf-8"?>
<formControlPr xmlns="http://schemas.microsoft.com/office/spreadsheetml/2009/9/main" objectType="CheckBox" fmlaLink="$D$19" lockText="1"/>
</file>

<file path=xl/ctrlProps/ctrlProp156.xml><?xml version="1.0" encoding="utf-8"?>
<formControlPr xmlns="http://schemas.microsoft.com/office/spreadsheetml/2009/9/main" objectType="CheckBox" fmlaLink="$D$20" lockText="1"/>
</file>

<file path=xl/ctrlProps/ctrlProp157.xml><?xml version="1.0" encoding="utf-8"?>
<formControlPr xmlns="http://schemas.microsoft.com/office/spreadsheetml/2009/9/main" objectType="CheckBox" fmlaLink="$D$27" lockText="1"/>
</file>

<file path=xl/ctrlProps/ctrlProp158.xml><?xml version="1.0" encoding="utf-8"?>
<formControlPr xmlns="http://schemas.microsoft.com/office/spreadsheetml/2009/9/main" objectType="CheckBox" fmlaLink="$D$28" lockText="1"/>
</file>

<file path=xl/ctrlProps/ctrlProp159.xml><?xml version="1.0" encoding="utf-8"?>
<formControlPr xmlns="http://schemas.microsoft.com/office/spreadsheetml/2009/9/main" objectType="CheckBox" fmlaLink="$D$31"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D$32" lockText="1"/>
</file>

<file path=xl/ctrlProps/ctrlProp161.xml><?xml version="1.0" encoding="utf-8"?>
<formControlPr xmlns="http://schemas.microsoft.com/office/spreadsheetml/2009/9/main" objectType="CheckBox" fmlaLink="$D$33" lockText="1"/>
</file>

<file path=xl/ctrlProps/ctrlProp162.xml><?xml version="1.0" encoding="utf-8"?>
<formControlPr xmlns="http://schemas.microsoft.com/office/spreadsheetml/2009/9/main" objectType="CheckBox" fmlaLink="$D$34" lockText="1"/>
</file>

<file path=xl/ctrlProps/ctrlProp163.xml><?xml version="1.0" encoding="utf-8"?>
<formControlPr xmlns="http://schemas.microsoft.com/office/spreadsheetml/2009/9/main" objectType="CheckBox" fmlaLink="$D$35" lockText="1"/>
</file>

<file path=xl/ctrlProps/ctrlProp164.xml><?xml version="1.0" encoding="utf-8"?>
<formControlPr xmlns="http://schemas.microsoft.com/office/spreadsheetml/2009/9/main" objectType="CheckBox" fmlaLink="$D$36" lockText="1"/>
</file>

<file path=xl/ctrlProps/ctrlProp165.xml><?xml version="1.0" encoding="utf-8"?>
<formControlPr xmlns="http://schemas.microsoft.com/office/spreadsheetml/2009/9/main" objectType="CheckBox" fmlaLink="$D$37" lockText="1"/>
</file>

<file path=xl/ctrlProps/ctrlProp166.xml><?xml version="1.0" encoding="utf-8"?>
<formControlPr xmlns="http://schemas.microsoft.com/office/spreadsheetml/2009/9/main" objectType="CheckBox" fmlaLink="$D$38" lockText="1"/>
</file>

<file path=xl/ctrlProps/ctrlProp167.xml><?xml version="1.0" encoding="utf-8"?>
<formControlPr xmlns="http://schemas.microsoft.com/office/spreadsheetml/2009/9/main" objectType="CheckBox" fmlaLink="$D$39" lockText="1"/>
</file>

<file path=xl/ctrlProps/ctrlProp168.xml><?xml version="1.0" encoding="utf-8"?>
<formControlPr xmlns="http://schemas.microsoft.com/office/spreadsheetml/2009/9/main" objectType="CheckBox" fmlaLink="$D$40" lockText="1"/>
</file>

<file path=xl/ctrlProps/ctrlProp169.xml><?xml version="1.0" encoding="utf-8"?>
<formControlPr xmlns="http://schemas.microsoft.com/office/spreadsheetml/2009/9/main" objectType="CheckBox" fmlaLink="$D$41" lockText="1"/>
</file>

<file path=xl/ctrlProps/ctrlProp17.xml><?xml version="1.0" encoding="utf-8"?>
<formControlPr xmlns="http://schemas.microsoft.com/office/spreadsheetml/2009/9/main" objectType="CheckBox" fmlaLink="$B$57" lockText="1"/>
</file>

<file path=xl/ctrlProps/ctrlProp170.xml><?xml version="1.0" encoding="utf-8"?>
<formControlPr xmlns="http://schemas.microsoft.com/office/spreadsheetml/2009/9/main" objectType="CheckBox" fmlaLink="$D$42" lockText="1"/>
</file>

<file path=xl/ctrlProps/ctrlProp171.xml><?xml version="1.0" encoding="utf-8"?>
<formControlPr xmlns="http://schemas.microsoft.com/office/spreadsheetml/2009/9/main" objectType="CheckBox" fmlaLink="$D$49" lockText="1"/>
</file>

<file path=xl/ctrlProps/ctrlProp172.xml><?xml version="1.0" encoding="utf-8"?>
<formControlPr xmlns="http://schemas.microsoft.com/office/spreadsheetml/2009/9/main" objectType="CheckBox" fmlaLink="$D$50" lockText="1"/>
</file>

<file path=xl/ctrlProps/ctrlProp173.xml><?xml version="1.0" encoding="utf-8"?>
<formControlPr xmlns="http://schemas.microsoft.com/office/spreadsheetml/2009/9/main" objectType="CheckBox" fmlaLink="$D$53" lockText="1"/>
</file>

<file path=xl/ctrlProps/ctrlProp174.xml><?xml version="1.0" encoding="utf-8"?>
<formControlPr xmlns="http://schemas.microsoft.com/office/spreadsheetml/2009/9/main" objectType="CheckBox" fmlaLink="$D$54" lockText="1"/>
</file>

<file path=xl/ctrlProps/ctrlProp175.xml><?xml version="1.0" encoding="utf-8"?>
<formControlPr xmlns="http://schemas.microsoft.com/office/spreadsheetml/2009/9/main" objectType="CheckBox" fmlaLink="$D$55" lockText="1"/>
</file>

<file path=xl/ctrlProps/ctrlProp176.xml><?xml version="1.0" encoding="utf-8"?>
<formControlPr xmlns="http://schemas.microsoft.com/office/spreadsheetml/2009/9/main" objectType="CheckBox" fmlaLink="$D$56" lockText="1"/>
</file>

<file path=xl/ctrlProps/ctrlProp177.xml><?xml version="1.0" encoding="utf-8"?>
<formControlPr xmlns="http://schemas.microsoft.com/office/spreadsheetml/2009/9/main" objectType="CheckBox" fmlaLink="$D$57" lockText="1"/>
</file>

<file path=xl/ctrlProps/ctrlProp178.xml><?xml version="1.0" encoding="utf-8"?>
<formControlPr xmlns="http://schemas.microsoft.com/office/spreadsheetml/2009/9/main" objectType="CheckBox" fmlaLink="$D$58" lockText="1"/>
</file>

<file path=xl/ctrlProps/ctrlProp179.xml><?xml version="1.0" encoding="utf-8"?>
<formControlPr xmlns="http://schemas.microsoft.com/office/spreadsheetml/2009/9/main" objectType="CheckBox" fmlaLink="$D$59" lockText="1"/>
</file>

<file path=xl/ctrlProps/ctrlProp18.xml><?xml version="1.0" encoding="utf-8"?>
<formControlPr xmlns="http://schemas.microsoft.com/office/spreadsheetml/2009/9/main" objectType="CheckBox" fmlaLink="$B$58" lockText="1"/>
</file>

<file path=xl/ctrlProps/ctrlProp180.xml><?xml version="1.0" encoding="utf-8"?>
<formControlPr xmlns="http://schemas.microsoft.com/office/spreadsheetml/2009/9/main" objectType="CheckBox" fmlaLink="$D$60" lockText="1"/>
</file>

<file path=xl/ctrlProps/ctrlProp181.xml><?xml version="1.0" encoding="utf-8"?>
<formControlPr xmlns="http://schemas.microsoft.com/office/spreadsheetml/2009/9/main" objectType="CheckBox" fmlaLink="$D$61" lockText="1"/>
</file>

<file path=xl/ctrlProps/ctrlProp182.xml><?xml version="1.0" encoding="utf-8"?>
<formControlPr xmlns="http://schemas.microsoft.com/office/spreadsheetml/2009/9/main" objectType="CheckBox" fmlaLink="$D$62" lockText="1"/>
</file>

<file path=xl/ctrlProps/ctrlProp183.xml><?xml version="1.0" encoding="utf-8"?>
<formControlPr xmlns="http://schemas.microsoft.com/office/spreadsheetml/2009/9/main" objectType="CheckBox" fmlaLink="$D$63" lockText="1"/>
</file>

<file path=xl/ctrlProps/ctrlProp184.xml><?xml version="1.0" encoding="utf-8"?>
<formControlPr xmlns="http://schemas.microsoft.com/office/spreadsheetml/2009/9/main" objectType="CheckBox" fmlaLink="$D$64" lockText="1"/>
</file>

<file path=xl/ctrlProps/ctrlProp185.xml><?xml version="1.0" encoding="utf-8"?>
<formControlPr xmlns="http://schemas.microsoft.com/office/spreadsheetml/2009/9/main" objectType="CheckBox" fmlaLink="$D$65" lockText="1"/>
</file>

<file path=xl/ctrlProps/ctrlProp186.xml><?xml version="1.0" encoding="utf-8"?>
<formControlPr xmlns="http://schemas.microsoft.com/office/spreadsheetml/2009/9/main" objectType="CheckBox" fmlaLink="$D$43" lockText="1"/>
</file>

<file path=xl/ctrlProps/ctrlProp187.xml><?xml version="1.0" encoding="utf-8"?>
<formControlPr xmlns="http://schemas.microsoft.com/office/spreadsheetml/2009/9/main" objectType="CheckBox" fmlaLink="$D$10" lockText="1"/>
</file>

<file path=xl/ctrlProps/ctrlProp188.xml><?xml version="1.0" encoding="utf-8"?>
<formControlPr xmlns="http://schemas.microsoft.com/office/spreadsheetml/2009/9/main" objectType="CheckBox" fmlaLink="$D$11" lockText="1"/>
</file>

<file path=xl/ctrlProps/ctrlProp189.xml><?xml version="1.0" encoding="utf-8"?>
<formControlPr xmlns="http://schemas.microsoft.com/office/spreadsheetml/2009/9/main" objectType="CheckBox" fmlaLink="$D$29" lockText="1"/>
</file>

<file path=xl/ctrlProps/ctrlProp19.xml><?xml version="1.0" encoding="utf-8"?>
<formControlPr xmlns="http://schemas.microsoft.com/office/spreadsheetml/2009/9/main" objectType="CheckBox" fmlaLink="$B$59" lockText="1"/>
</file>

<file path=xl/ctrlProps/ctrlProp190.xml><?xml version="1.0" encoding="utf-8"?>
<formControlPr xmlns="http://schemas.microsoft.com/office/spreadsheetml/2009/9/main" objectType="CheckBox" fmlaLink="$D$30" lockText="1"/>
</file>

<file path=xl/ctrlProps/ctrlProp191.xml><?xml version="1.0" encoding="utf-8"?>
<formControlPr xmlns="http://schemas.microsoft.com/office/spreadsheetml/2009/9/main" objectType="CheckBox" fmlaLink="$D$51" lockText="1"/>
</file>

<file path=xl/ctrlProps/ctrlProp192.xml><?xml version="1.0" encoding="utf-8"?>
<formControlPr xmlns="http://schemas.microsoft.com/office/spreadsheetml/2009/9/main" objectType="CheckBox" fmlaLink="$D$52" lockText="1"/>
</file>

<file path=xl/ctrlProps/ctrlProp193.xml><?xml version="1.0" encoding="utf-8"?>
<formControlPr xmlns="http://schemas.microsoft.com/office/spreadsheetml/2009/9/main" objectType="CheckBox" fmlaLink="$D$21" lockText="1"/>
</file>

<file path=xl/ctrlProps/ctrlProp194.xml><?xml version="1.0" encoding="utf-8"?>
<formControlPr xmlns="http://schemas.microsoft.com/office/spreadsheetml/2009/9/main" objectType="CheckBox" fmlaLink="$D$9" lockText="1"/>
</file>

<file path=xl/ctrlProps/ctrlProp195.xml><?xml version="1.0" encoding="utf-8"?>
<formControlPr xmlns="http://schemas.microsoft.com/office/spreadsheetml/2009/9/main" objectType="CheckBox" fmlaLink="$D$10" lockText="1"/>
</file>

<file path=xl/ctrlProps/ctrlProp196.xml><?xml version="1.0" encoding="utf-8"?>
<formControlPr xmlns="http://schemas.microsoft.com/office/spreadsheetml/2009/9/main" objectType="CheckBox" fmlaLink="$D$11" lockText="1"/>
</file>

<file path=xl/ctrlProps/ctrlProp197.xml><?xml version="1.0" encoding="utf-8"?>
<formControlPr xmlns="http://schemas.microsoft.com/office/spreadsheetml/2009/9/main" objectType="CheckBox" fmlaLink="$D$12" lockText="1"/>
</file>

<file path=xl/ctrlProps/ctrlProp198.xml><?xml version="1.0" encoding="utf-8"?>
<formControlPr xmlns="http://schemas.microsoft.com/office/spreadsheetml/2009/9/main" objectType="CheckBox" fmlaLink="$D$13" lockText="1"/>
</file>

<file path=xl/ctrlProps/ctrlProp199.xml><?xml version="1.0" encoding="utf-8"?>
<formControlPr xmlns="http://schemas.microsoft.com/office/spreadsheetml/2009/9/main" objectType="CheckBox" fmlaLink="$D$14"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60" lockText="1"/>
</file>

<file path=xl/ctrlProps/ctrlProp200.xml><?xml version="1.0" encoding="utf-8"?>
<formControlPr xmlns="http://schemas.microsoft.com/office/spreadsheetml/2009/9/main" objectType="CheckBox" fmlaLink="$D$15" lockText="1"/>
</file>

<file path=xl/ctrlProps/ctrlProp201.xml><?xml version="1.0" encoding="utf-8"?>
<formControlPr xmlns="http://schemas.microsoft.com/office/spreadsheetml/2009/9/main" objectType="CheckBox" fmlaLink="$D$16" lockText="1"/>
</file>

<file path=xl/ctrlProps/ctrlProp202.xml><?xml version="1.0" encoding="utf-8"?>
<formControlPr xmlns="http://schemas.microsoft.com/office/spreadsheetml/2009/9/main" objectType="CheckBox" fmlaLink="$D$17" lockText="1"/>
</file>

<file path=xl/ctrlProps/ctrlProp203.xml><?xml version="1.0" encoding="utf-8"?>
<formControlPr xmlns="http://schemas.microsoft.com/office/spreadsheetml/2009/9/main" objectType="CheckBox" fmlaLink="$D$18" lockText="1"/>
</file>

<file path=xl/ctrlProps/ctrlProp204.xml><?xml version="1.0" encoding="utf-8"?>
<formControlPr xmlns="http://schemas.microsoft.com/office/spreadsheetml/2009/9/main" objectType="CheckBox" fmlaLink="$D$19" lockText="1"/>
</file>

<file path=xl/ctrlProps/ctrlProp205.xml><?xml version="1.0" encoding="utf-8"?>
<formControlPr xmlns="http://schemas.microsoft.com/office/spreadsheetml/2009/9/main" objectType="CheckBox" fmlaLink="$D$20" lockText="1"/>
</file>

<file path=xl/ctrlProps/ctrlProp206.xml><?xml version="1.0" encoding="utf-8"?>
<formControlPr xmlns="http://schemas.microsoft.com/office/spreadsheetml/2009/9/main" objectType="CheckBox" fmlaLink="$D$26" lockText="1"/>
</file>

<file path=xl/ctrlProps/ctrlProp207.xml><?xml version="1.0" encoding="utf-8"?>
<formControlPr xmlns="http://schemas.microsoft.com/office/spreadsheetml/2009/9/main" objectType="CheckBox" fmlaLink="$D$27" lockText="1"/>
</file>

<file path=xl/ctrlProps/ctrlProp208.xml><?xml version="1.0" encoding="utf-8"?>
<formControlPr xmlns="http://schemas.microsoft.com/office/spreadsheetml/2009/9/main" objectType="CheckBox" fmlaLink="$D$28" lockText="1"/>
</file>

<file path=xl/ctrlProps/ctrlProp209.xml><?xml version="1.0" encoding="utf-8"?>
<formControlPr xmlns="http://schemas.microsoft.com/office/spreadsheetml/2009/9/main" objectType="CheckBox" fmlaLink="$D$29" lockText="1"/>
</file>

<file path=xl/ctrlProps/ctrlProp21.xml><?xml version="1.0" encoding="utf-8"?>
<formControlPr xmlns="http://schemas.microsoft.com/office/spreadsheetml/2009/9/main" objectType="CheckBox" fmlaLink="$B$10" lockText="1"/>
</file>

<file path=xl/ctrlProps/ctrlProp210.xml><?xml version="1.0" encoding="utf-8"?>
<formControlPr xmlns="http://schemas.microsoft.com/office/spreadsheetml/2009/9/main" objectType="CheckBox" fmlaLink="$D$30" lockText="1"/>
</file>

<file path=xl/ctrlProps/ctrlProp211.xml><?xml version="1.0" encoding="utf-8"?>
<formControlPr xmlns="http://schemas.microsoft.com/office/spreadsheetml/2009/9/main" objectType="CheckBox" fmlaLink="$D$31" lockText="1"/>
</file>

<file path=xl/ctrlProps/ctrlProp212.xml><?xml version="1.0" encoding="utf-8"?>
<formControlPr xmlns="http://schemas.microsoft.com/office/spreadsheetml/2009/9/main" objectType="CheckBox" fmlaLink="$D$32" lockText="1"/>
</file>

<file path=xl/ctrlProps/ctrlProp213.xml><?xml version="1.0" encoding="utf-8"?>
<formControlPr xmlns="http://schemas.microsoft.com/office/spreadsheetml/2009/9/main" objectType="CheckBox" fmlaLink="$D$33" lockText="1"/>
</file>

<file path=xl/ctrlProps/ctrlProp214.xml><?xml version="1.0" encoding="utf-8"?>
<formControlPr xmlns="http://schemas.microsoft.com/office/spreadsheetml/2009/9/main" objectType="CheckBox" fmlaLink="$D$34" lockText="1"/>
</file>

<file path=xl/ctrlProps/ctrlProp215.xml><?xml version="1.0" encoding="utf-8"?>
<formControlPr xmlns="http://schemas.microsoft.com/office/spreadsheetml/2009/9/main" objectType="CheckBox" fmlaLink="$D$35" lockText="1"/>
</file>

<file path=xl/ctrlProps/ctrlProp216.xml><?xml version="1.0" encoding="utf-8"?>
<formControlPr xmlns="http://schemas.microsoft.com/office/spreadsheetml/2009/9/main" objectType="CheckBox" fmlaLink="$D$36" lockText="1"/>
</file>

<file path=xl/ctrlProps/ctrlProp217.xml><?xml version="1.0" encoding="utf-8"?>
<formControlPr xmlns="http://schemas.microsoft.com/office/spreadsheetml/2009/9/main" objectType="CheckBox" fmlaLink="$D$37" lockText="1"/>
</file>

<file path=xl/ctrlProps/ctrlProp218.xml><?xml version="1.0" encoding="utf-8"?>
<formControlPr xmlns="http://schemas.microsoft.com/office/spreadsheetml/2009/9/main" objectType="CheckBox" fmlaLink="$D$38" lockText="1"/>
</file>

<file path=xl/ctrlProps/ctrlProp219.xml><?xml version="1.0" encoding="utf-8"?>
<formControlPr xmlns="http://schemas.microsoft.com/office/spreadsheetml/2009/9/main" objectType="CheckBox" fmlaLink="$D$39" lockText="1"/>
</file>

<file path=xl/ctrlProps/ctrlProp22.xml><?xml version="1.0" encoding="utf-8"?>
<formControlPr xmlns="http://schemas.microsoft.com/office/spreadsheetml/2009/9/main" objectType="CheckBox" fmlaLink="$B$11" lockText="1"/>
</file>

<file path=xl/ctrlProps/ctrlProp220.xml><?xml version="1.0" encoding="utf-8"?>
<formControlPr xmlns="http://schemas.microsoft.com/office/spreadsheetml/2009/9/main" objectType="CheckBox" fmlaLink="$D$40" lockText="1"/>
</file>

<file path=xl/ctrlProps/ctrlProp221.xml><?xml version="1.0" encoding="utf-8"?>
<formControlPr xmlns="http://schemas.microsoft.com/office/spreadsheetml/2009/9/main" objectType="CheckBox" fmlaLink="$D$42" lockText="1"/>
</file>

<file path=xl/ctrlProps/ctrlProp222.xml><?xml version="1.0" encoding="utf-8"?>
<formControlPr xmlns="http://schemas.microsoft.com/office/spreadsheetml/2009/9/main" objectType="CheckBox" fmlaLink="$D$23" lockText="1"/>
</file>

<file path=xl/ctrlProps/ctrlProp223.xml><?xml version="1.0" encoding="utf-8"?>
<formControlPr xmlns="http://schemas.microsoft.com/office/spreadsheetml/2009/9/main" objectType="CheckBox" fmlaLink="$D$10" lockText="1"/>
</file>

<file path=xl/ctrlProps/ctrlProp224.xml><?xml version="1.0" encoding="utf-8"?>
<formControlPr xmlns="http://schemas.microsoft.com/office/spreadsheetml/2009/9/main" objectType="CheckBox" fmlaLink="#REF!" lockText="1"/>
</file>

<file path=xl/ctrlProps/ctrlProp225.xml><?xml version="1.0" encoding="utf-8"?>
<formControlPr xmlns="http://schemas.microsoft.com/office/spreadsheetml/2009/9/main" objectType="CheckBox" fmlaLink="$D$46" lockText="1"/>
</file>

<file path=xl/ctrlProps/ctrlProp226.xml><?xml version="1.0" encoding="utf-8"?>
<formControlPr xmlns="http://schemas.microsoft.com/office/spreadsheetml/2009/9/main" objectType="CheckBox" fmlaLink="$D$42" lockText="1"/>
</file>

<file path=xl/ctrlProps/ctrlProp227.xml><?xml version="1.0" encoding="utf-8"?>
<formControlPr xmlns="http://schemas.microsoft.com/office/spreadsheetml/2009/9/main" objectType="CheckBox" fmlaLink="$D$23" lockText="1"/>
</file>

<file path=xl/ctrlProps/ctrlProp228.xml><?xml version="1.0" encoding="utf-8"?>
<formControlPr xmlns="http://schemas.microsoft.com/office/spreadsheetml/2009/9/main" objectType="CheckBox" fmlaLink="$D$10" lockText="1"/>
</file>

<file path=xl/ctrlProps/ctrlProp229.xml><?xml version="1.0" encoding="utf-8"?>
<formControlPr xmlns="http://schemas.microsoft.com/office/spreadsheetml/2009/9/main" objectType="CheckBox" fmlaLink="#REF!" lockText="1"/>
</file>

<file path=xl/ctrlProps/ctrlProp23.xml><?xml version="1.0" encoding="utf-8"?>
<formControlPr xmlns="http://schemas.microsoft.com/office/spreadsheetml/2009/9/main" objectType="CheckBox" fmlaLink="$B$12" lockText="1"/>
</file>

<file path=xl/ctrlProps/ctrlProp230.xml><?xml version="1.0" encoding="utf-8"?>
<formControlPr xmlns="http://schemas.microsoft.com/office/spreadsheetml/2009/9/main" objectType="CheckBox" fmlaLink="$D$47" lockText="1"/>
</file>

<file path=xl/ctrlProps/ctrlProp231.xml><?xml version="1.0" encoding="utf-8"?>
<formControlPr xmlns="http://schemas.microsoft.com/office/spreadsheetml/2009/9/main" objectType="CheckBox" fmlaLink="$D$42" lockText="1"/>
</file>

<file path=xl/ctrlProps/ctrlProp232.xml><?xml version="1.0" encoding="utf-8"?>
<formControlPr xmlns="http://schemas.microsoft.com/office/spreadsheetml/2009/9/main" objectType="CheckBox" fmlaLink="$D$23" lockText="1"/>
</file>

<file path=xl/ctrlProps/ctrlProp233.xml><?xml version="1.0" encoding="utf-8"?>
<formControlPr xmlns="http://schemas.microsoft.com/office/spreadsheetml/2009/9/main" objectType="CheckBox" fmlaLink="$D$10" lockText="1"/>
</file>

<file path=xl/ctrlProps/ctrlProp234.xml><?xml version="1.0" encoding="utf-8"?>
<formControlPr xmlns="http://schemas.microsoft.com/office/spreadsheetml/2009/9/main" objectType="CheckBox" fmlaLink="#REF!" lockText="1"/>
</file>

<file path=xl/ctrlProps/ctrlProp235.xml><?xml version="1.0" encoding="utf-8"?>
<formControlPr xmlns="http://schemas.microsoft.com/office/spreadsheetml/2009/9/main" objectType="CheckBox" fmlaLink="$D$48" lockText="1"/>
</file>

<file path=xl/ctrlProps/ctrlProp236.xml><?xml version="1.0" encoding="utf-8"?>
<formControlPr xmlns="http://schemas.microsoft.com/office/spreadsheetml/2009/9/main" objectType="CheckBox" fmlaLink="$D$42" lockText="1"/>
</file>

<file path=xl/ctrlProps/ctrlProp237.xml><?xml version="1.0" encoding="utf-8"?>
<formControlPr xmlns="http://schemas.microsoft.com/office/spreadsheetml/2009/9/main" objectType="CheckBox" fmlaLink="$D$23" lockText="1"/>
</file>

<file path=xl/ctrlProps/ctrlProp238.xml><?xml version="1.0" encoding="utf-8"?>
<formControlPr xmlns="http://schemas.microsoft.com/office/spreadsheetml/2009/9/main" objectType="CheckBox" fmlaLink="$D$10" lockText="1"/>
</file>

<file path=xl/ctrlProps/ctrlProp239.xml><?xml version="1.0" encoding="utf-8"?>
<formControlPr xmlns="http://schemas.microsoft.com/office/spreadsheetml/2009/9/main" objectType="CheckBox" fmlaLink="#REF!" lockText="1"/>
</file>

<file path=xl/ctrlProps/ctrlProp24.xml><?xml version="1.0" encoding="utf-8"?>
<formControlPr xmlns="http://schemas.microsoft.com/office/spreadsheetml/2009/9/main" objectType="CheckBox" fmlaLink="$B$13" lockText="1"/>
</file>

<file path=xl/ctrlProps/ctrlProp240.xml><?xml version="1.0" encoding="utf-8"?>
<formControlPr xmlns="http://schemas.microsoft.com/office/spreadsheetml/2009/9/main" objectType="CheckBox" fmlaLink="$D$49" lockText="1"/>
</file>

<file path=xl/ctrlProps/ctrlProp241.xml><?xml version="1.0" encoding="utf-8"?>
<formControlPr xmlns="http://schemas.microsoft.com/office/spreadsheetml/2009/9/main" objectType="CheckBox" fmlaLink="$D$42" lockText="1"/>
</file>

<file path=xl/ctrlProps/ctrlProp242.xml><?xml version="1.0" encoding="utf-8"?>
<formControlPr xmlns="http://schemas.microsoft.com/office/spreadsheetml/2009/9/main" objectType="CheckBox" fmlaLink="$D$23" lockText="1"/>
</file>

<file path=xl/ctrlProps/ctrlProp243.xml><?xml version="1.0" encoding="utf-8"?>
<formControlPr xmlns="http://schemas.microsoft.com/office/spreadsheetml/2009/9/main" objectType="CheckBox" fmlaLink="$D$10" lockText="1"/>
</file>

<file path=xl/ctrlProps/ctrlProp244.xml><?xml version="1.0" encoding="utf-8"?>
<formControlPr xmlns="http://schemas.microsoft.com/office/spreadsheetml/2009/9/main" objectType="CheckBox" fmlaLink="#REF!" lockText="1"/>
</file>

<file path=xl/ctrlProps/ctrlProp245.xml><?xml version="1.0" encoding="utf-8"?>
<formControlPr xmlns="http://schemas.microsoft.com/office/spreadsheetml/2009/9/main" objectType="CheckBox" fmlaLink="$D$50" lockText="1"/>
</file>

<file path=xl/ctrlProps/ctrlProp246.xml><?xml version="1.0" encoding="utf-8"?>
<formControlPr xmlns="http://schemas.microsoft.com/office/spreadsheetml/2009/9/main" objectType="CheckBox" fmlaLink="$D$42" lockText="1"/>
</file>

<file path=xl/ctrlProps/ctrlProp247.xml><?xml version="1.0" encoding="utf-8"?>
<formControlPr xmlns="http://schemas.microsoft.com/office/spreadsheetml/2009/9/main" objectType="CheckBox" fmlaLink="$D$23" lockText="1"/>
</file>

<file path=xl/ctrlProps/ctrlProp248.xml><?xml version="1.0" encoding="utf-8"?>
<formControlPr xmlns="http://schemas.microsoft.com/office/spreadsheetml/2009/9/main" objectType="CheckBox" fmlaLink="$D$10" lockText="1"/>
</file>

<file path=xl/ctrlProps/ctrlProp249.xml><?xml version="1.0" encoding="utf-8"?>
<formControlPr xmlns="http://schemas.microsoft.com/office/spreadsheetml/2009/9/main" objectType="CheckBox" fmlaLink="#REF!" lockText="1"/>
</file>

<file path=xl/ctrlProps/ctrlProp25.xml><?xml version="1.0" encoding="utf-8"?>
<formControlPr xmlns="http://schemas.microsoft.com/office/spreadsheetml/2009/9/main" objectType="CheckBox" fmlaLink="$B$14" lockText="1"/>
</file>

<file path=xl/ctrlProps/ctrlProp250.xml><?xml version="1.0" encoding="utf-8"?>
<formControlPr xmlns="http://schemas.microsoft.com/office/spreadsheetml/2009/9/main" objectType="CheckBox" fmlaLink="$D$51" lockText="1"/>
</file>

<file path=xl/ctrlProps/ctrlProp251.xml><?xml version="1.0" encoding="utf-8"?>
<formControlPr xmlns="http://schemas.microsoft.com/office/spreadsheetml/2009/9/main" objectType="CheckBox" fmlaLink="$D$42" lockText="1"/>
</file>

<file path=xl/ctrlProps/ctrlProp252.xml><?xml version="1.0" encoding="utf-8"?>
<formControlPr xmlns="http://schemas.microsoft.com/office/spreadsheetml/2009/9/main" objectType="CheckBox" fmlaLink="$D$23" lockText="1"/>
</file>

<file path=xl/ctrlProps/ctrlProp253.xml><?xml version="1.0" encoding="utf-8"?>
<formControlPr xmlns="http://schemas.microsoft.com/office/spreadsheetml/2009/9/main" objectType="CheckBox" fmlaLink="$D$10" lockText="1"/>
</file>

<file path=xl/ctrlProps/ctrlProp254.xml><?xml version="1.0" encoding="utf-8"?>
<formControlPr xmlns="http://schemas.microsoft.com/office/spreadsheetml/2009/9/main" objectType="CheckBox" fmlaLink="#REF!" lockText="1"/>
</file>

<file path=xl/ctrlProps/ctrlProp255.xml><?xml version="1.0" encoding="utf-8"?>
<formControlPr xmlns="http://schemas.microsoft.com/office/spreadsheetml/2009/9/main" objectType="CheckBox" fmlaLink="$D$52" lockText="1"/>
</file>

<file path=xl/ctrlProps/ctrlProp256.xml><?xml version="1.0" encoding="utf-8"?>
<formControlPr xmlns="http://schemas.microsoft.com/office/spreadsheetml/2009/9/main" objectType="CheckBox" fmlaLink="$D$42" lockText="1"/>
</file>

<file path=xl/ctrlProps/ctrlProp257.xml><?xml version="1.0" encoding="utf-8"?>
<formControlPr xmlns="http://schemas.microsoft.com/office/spreadsheetml/2009/9/main" objectType="CheckBox" fmlaLink="$D$23" lockText="1"/>
</file>

<file path=xl/ctrlProps/ctrlProp258.xml><?xml version="1.0" encoding="utf-8"?>
<formControlPr xmlns="http://schemas.microsoft.com/office/spreadsheetml/2009/9/main" objectType="CheckBox" fmlaLink="$D$10" lockText="1"/>
</file>

<file path=xl/ctrlProps/ctrlProp259.xml><?xml version="1.0" encoding="utf-8"?>
<formControlPr xmlns="http://schemas.microsoft.com/office/spreadsheetml/2009/9/main" objectType="CheckBox" fmlaLink="#REF!" lockText="1"/>
</file>

<file path=xl/ctrlProps/ctrlProp26.xml><?xml version="1.0" encoding="utf-8"?>
<formControlPr xmlns="http://schemas.microsoft.com/office/spreadsheetml/2009/9/main" objectType="CheckBox" fmlaLink="$B$15" lockText="1"/>
</file>

<file path=xl/ctrlProps/ctrlProp260.xml><?xml version="1.0" encoding="utf-8"?>
<formControlPr xmlns="http://schemas.microsoft.com/office/spreadsheetml/2009/9/main" objectType="CheckBox" fmlaLink="$D$53" lockText="1"/>
</file>

<file path=xl/ctrlProps/ctrlProp261.xml><?xml version="1.0" encoding="utf-8"?>
<formControlPr xmlns="http://schemas.microsoft.com/office/spreadsheetml/2009/9/main" objectType="CheckBox" fmlaLink="$D$42" lockText="1"/>
</file>

<file path=xl/ctrlProps/ctrlProp262.xml><?xml version="1.0" encoding="utf-8"?>
<formControlPr xmlns="http://schemas.microsoft.com/office/spreadsheetml/2009/9/main" objectType="CheckBox" fmlaLink="$D$23" lockText="1"/>
</file>

<file path=xl/ctrlProps/ctrlProp263.xml><?xml version="1.0" encoding="utf-8"?>
<formControlPr xmlns="http://schemas.microsoft.com/office/spreadsheetml/2009/9/main" objectType="CheckBox" fmlaLink="$D$10" lockText="1"/>
</file>

<file path=xl/ctrlProps/ctrlProp264.xml><?xml version="1.0" encoding="utf-8"?>
<formControlPr xmlns="http://schemas.microsoft.com/office/spreadsheetml/2009/9/main" objectType="CheckBox" fmlaLink="#REF!" lockText="1"/>
</file>

<file path=xl/ctrlProps/ctrlProp265.xml><?xml version="1.0" encoding="utf-8"?>
<formControlPr xmlns="http://schemas.microsoft.com/office/spreadsheetml/2009/9/main" objectType="CheckBox" fmlaLink="$D$54" lockText="1"/>
</file>

<file path=xl/ctrlProps/ctrlProp266.xml><?xml version="1.0" encoding="utf-8"?>
<formControlPr xmlns="http://schemas.microsoft.com/office/spreadsheetml/2009/9/main" objectType="CheckBox" fmlaLink="$D$42" lockText="1"/>
</file>

<file path=xl/ctrlProps/ctrlProp267.xml><?xml version="1.0" encoding="utf-8"?>
<formControlPr xmlns="http://schemas.microsoft.com/office/spreadsheetml/2009/9/main" objectType="CheckBox" fmlaLink="$D$23" lockText="1"/>
</file>

<file path=xl/ctrlProps/ctrlProp268.xml><?xml version="1.0" encoding="utf-8"?>
<formControlPr xmlns="http://schemas.microsoft.com/office/spreadsheetml/2009/9/main" objectType="CheckBox" fmlaLink="$D$10" lockText="1"/>
</file>

<file path=xl/ctrlProps/ctrlProp269.xml><?xml version="1.0" encoding="utf-8"?>
<formControlPr xmlns="http://schemas.microsoft.com/office/spreadsheetml/2009/9/main" objectType="CheckBox" fmlaLink="#REF!" lockText="1"/>
</file>

<file path=xl/ctrlProps/ctrlProp27.xml><?xml version="1.0" encoding="utf-8"?>
<formControlPr xmlns="http://schemas.microsoft.com/office/spreadsheetml/2009/9/main" objectType="CheckBox" fmlaLink="$B$16" lockText="1"/>
</file>

<file path=xl/ctrlProps/ctrlProp270.xml><?xml version="1.0" encoding="utf-8"?>
<formControlPr xmlns="http://schemas.microsoft.com/office/spreadsheetml/2009/9/main" objectType="CheckBox" fmlaLink="$D$55" lockText="1"/>
</file>

<file path=xl/ctrlProps/ctrlProp271.xml><?xml version="1.0" encoding="utf-8"?>
<formControlPr xmlns="http://schemas.microsoft.com/office/spreadsheetml/2009/9/main" objectType="CheckBox" fmlaLink="$D$42" lockText="1"/>
</file>

<file path=xl/ctrlProps/ctrlProp272.xml><?xml version="1.0" encoding="utf-8"?>
<formControlPr xmlns="http://schemas.microsoft.com/office/spreadsheetml/2009/9/main" objectType="CheckBox" fmlaLink="$D$23" lockText="1"/>
</file>

<file path=xl/ctrlProps/ctrlProp273.xml><?xml version="1.0" encoding="utf-8"?>
<formControlPr xmlns="http://schemas.microsoft.com/office/spreadsheetml/2009/9/main" objectType="CheckBox" fmlaLink="$D$10" lockText="1"/>
</file>

<file path=xl/ctrlProps/ctrlProp274.xml><?xml version="1.0" encoding="utf-8"?>
<formControlPr xmlns="http://schemas.microsoft.com/office/spreadsheetml/2009/9/main" objectType="CheckBox" fmlaLink="#REF!" lockText="1"/>
</file>

<file path=xl/ctrlProps/ctrlProp275.xml><?xml version="1.0" encoding="utf-8"?>
<formControlPr xmlns="http://schemas.microsoft.com/office/spreadsheetml/2009/9/main" objectType="CheckBox" fmlaLink="$D$56" lockText="1"/>
</file>

<file path=xl/ctrlProps/ctrlProp276.xml><?xml version="1.0" encoding="utf-8"?>
<formControlPr xmlns="http://schemas.microsoft.com/office/spreadsheetml/2009/9/main" objectType="CheckBox" fmlaLink="$D$42" lockText="1"/>
</file>

<file path=xl/ctrlProps/ctrlProp277.xml><?xml version="1.0" encoding="utf-8"?>
<formControlPr xmlns="http://schemas.microsoft.com/office/spreadsheetml/2009/9/main" objectType="CheckBox" fmlaLink="$D$23" lockText="1"/>
</file>

<file path=xl/ctrlProps/ctrlProp278.xml><?xml version="1.0" encoding="utf-8"?>
<formControlPr xmlns="http://schemas.microsoft.com/office/spreadsheetml/2009/9/main" objectType="CheckBox" fmlaLink="$D$10" lockText="1"/>
</file>

<file path=xl/ctrlProps/ctrlProp279.xml><?xml version="1.0" encoding="utf-8"?>
<formControlPr xmlns="http://schemas.microsoft.com/office/spreadsheetml/2009/9/main" objectType="CheckBox" fmlaLink="#REF!" lockText="1"/>
</file>

<file path=xl/ctrlProps/ctrlProp28.xml><?xml version="1.0" encoding="utf-8"?>
<formControlPr xmlns="http://schemas.microsoft.com/office/spreadsheetml/2009/9/main" objectType="CheckBox" fmlaLink="$B$17" lockText="1"/>
</file>

<file path=xl/ctrlProps/ctrlProp280.xml><?xml version="1.0" encoding="utf-8"?>
<formControlPr xmlns="http://schemas.microsoft.com/office/spreadsheetml/2009/9/main" objectType="CheckBox" fmlaLink="$D$57" lockText="1"/>
</file>

<file path=xl/ctrlProps/ctrlProp281.xml><?xml version="1.0" encoding="utf-8"?>
<formControlPr xmlns="http://schemas.microsoft.com/office/spreadsheetml/2009/9/main" objectType="CheckBox" fmlaLink="$D$42" lockText="1"/>
</file>

<file path=xl/ctrlProps/ctrlProp282.xml><?xml version="1.0" encoding="utf-8"?>
<formControlPr xmlns="http://schemas.microsoft.com/office/spreadsheetml/2009/9/main" objectType="CheckBox" fmlaLink="$D$23" lockText="1"/>
</file>

<file path=xl/ctrlProps/ctrlProp283.xml><?xml version="1.0" encoding="utf-8"?>
<formControlPr xmlns="http://schemas.microsoft.com/office/spreadsheetml/2009/9/main" objectType="CheckBox" fmlaLink="$D$10" lockText="1"/>
</file>

<file path=xl/ctrlProps/ctrlProp284.xml><?xml version="1.0" encoding="utf-8"?>
<formControlPr xmlns="http://schemas.microsoft.com/office/spreadsheetml/2009/9/main" objectType="CheckBox" fmlaLink="#REF!" lockText="1"/>
</file>

<file path=xl/ctrlProps/ctrlProp285.xml><?xml version="1.0" encoding="utf-8"?>
<formControlPr xmlns="http://schemas.microsoft.com/office/spreadsheetml/2009/9/main" objectType="CheckBox" fmlaLink="$D$58" lockText="1"/>
</file>

<file path=xl/ctrlProps/ctrlProp286.xml><?xml version="1.0" encoding="utf-8"?>
<formControlPr xmlns="http://schemas.microsoft.com/office/spreadsheetml/2009/9/main" objectType="CheckBox" fmlaLink="$D$42" lockText="1"/>
</file>

<file path=xl/ctrlProps/ctrlProp287.xml><?xml version="1.0" encoding="utf-8"?>
<formControlPr xmlns="http://schemas.microsoft.com/office/spreadsheetml/2009/9/main" objectType="CheckBox" fmlaLink="$D$23" lockText="1"/>
</file>

<file path=xl/ctrlProps/ctrlProp288.xml><?xml version="1.0" encoding="utf-8"?>
<formControlPr xmlns="http://schemas.microsoft.com/office/spreadsheetml/2009/9/main" objectType="CheckBox" fmlaLink="$D$10" lockText="1"/>
</file>

<file path=xl/ctrlProps/ctrlProp289.xml><?xml version="1.0" encoding="utf-8"?>
<formControlPr xmlns="http://schemas.microsoft.com/office/spreadsheetml/2009/9/main" objectType="CheckBox" fmlaLink="#REF!" lockText="1"/>
</file>

<file path=xl/ctrlProps/ctrlProp29.xml><?xml version="1.0" encoding="utf-8"?>
<formControlPr xmlns="http://schemas.microsoft.com/office/spreadsheetml/2009/9/main" objectType="CheckBox" fmlaLink="$B$18" lockText="1"/>
</file>

<file path=xl/ctrlProps/ctrlProp290.xml><?xml version="1.0" encoding="utf-8"?>
<formControlPr xmlns="http://schemas.microsoft.com/office/spreadsheetml/2009/9/main" objectType="CheckBox" fmlaLink="$D$59" lockText="1"/>
</file>

<file path=xl/ctrlProps/ctrlProp291.xml><?xml version="1.0" encoding="utf-8"?>
<formControlPr xmlns="http://schemas.microsoft.com/office/spreadsheetml/2009/9/main" objectType="CheckBox" fmlaLink="$D$42" lockText="1"/>
</file>

<file path=xl/ctrlProps/ctrlProp292.xml><?xml version="1.0" encoding="utf-8"?>
<formControlPr xmlns="http://schemas.microsoft.com/office/spreadsheetml/2009/9/main" objectType="CheckBox" fmlaLink="$D$23" lockText="1"/>
</file>

<file path=xl/ctrlProps/ctrlProp293.xml><?xml version="1.0" encoding="utf-8"?>
<formControlPr xmlns="http://schemas.microsoft.com/office/spreadsheetml/2009/9/main" objectType="CheckBox" fmlaLink="$D$10" lockText="1"/>
</file>

<file path=xl/ctrlProps/ctrlProp294.xml><?xml version="1.0" encoding="utf-8"?>
<formControlPr xmlns="http://schemas.microsoft.com/office/spreadsheetml/2009/9/main" objectType="CheckBox" fmlaLink="#REF!" lockText="1"/>
</file>

<file path=xl/ctrlProps/ctrlProp295.xml><?xml version="1.0" encoding="utf-8"?>
<formControlPr xmlns="http://schemas.microsoft.com/office/spreadsheetml/2009/9/main" objectType="CheckBox" fmlaLink="$D$60" lockText="1"/>
</file>

<file path=xl/ctrlProps/ctrlProp296.xml><?xml version="1.0" encoding="utf-8"?>
<formControlPr xmlns="http://schemas.microsoft.com/office/spreadsheetml/2009/9/main" objectType="CheckBox" fmlaLink="$C$9" lockText="1"/>
</file>

<file path=xl/ctrlProps/ctrlProp297.xml><?xml version="1.0" encoding="utf-8"?>
<formControlPr xmlns="http://schemas.microsoft.com/office/spreadsheetml/2009/9/main" objectType="CheckBox" fmlaLink="$C$12" lockText="1"/>
</file>

<file path=xl/ctrlProps/ctrlProp298.xml><?xml version="1.0" encoding="utf-8"?>
<formControlPr xmlns="http://schemas.microsoft.com/office/spreadsheetml/2009/9/main" objectType="CheckBox" fmlaLink="$C$16" lockText="1"/>
</file>

<file path=xl/ctrlProps/ctrlProp299.xml><?xml version="1.0" encoding="utf-8"?>
<formControlPr xmlns="http://schemas.microsoft.com/office/spreadsheetml/2009/9/main" objectType="CheckBox" fmlaLink="$C$17"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19" lockText="1"/>
</file>

<file path=xl/ctrlProps/ctrlProp300.xml><?xml version="1.0" encoding="utf-8"?>
<formControlPr xmlns="http://schemas.microsoft.com/office/spreadsheetml/2009/9/main" objectType="CheckBox" fmlaLink="$C$20" lockText="1"/>
</file>

<file path=xl/ctrlProps/ctrlProp301.xml><?xml version="1.0" encoding="utf-8"?>
<formControlPr xmlns="http://schemas.microsoft.com/office/spreadsheetml/2009/9/main" objectType="CheckBox" fmlaLink="$C$21" lockText="1"/>
</file>

<file path=xl/ctrlProps/ctrlProp302.xml><?xml version="1.0" encoding="utf-8"?>
<formControlPr xmlns="http://schemas.microsoft.com/office/spreadsheetml/2009/9/main" objectType="CheckBox" fmlaLink="$C$22" lockText="1"/>
</file>

<file path=xl/ctrlProps/ctrlProp303.xml><?xml version="1.0" encoding="utf-8"?>
<formControlPr xmlns="http://schemas.microsoft.com/office/spreadsheetml/2009/9/main" objectType="CheckBox" fmlaLink="$C$23" lockText="1"/>
</file>

<file path=xl/ctrlProps/ctrlProp304.xml><?xml version="1.0" encoding="utf-8"?>
<formControlPr xmlns="http://schemas.microsoft.com/office/spreadsheetml/2009/9/main" objectType="CheckBox" fmlaLink="$C$14" lockText="1"/>
</file>

<file path=xl/ctrlProps/ctrlProp305.xml><?xml version="1.0" encoding="utf-8"?>
<formControlPr xmlns="http://schemas.microsoft.com/office/spreadsheetml/2009/9/main" objectType="CheckBox" fmlaLink="$D$8" lockText="1"/>
</file>

<file path=xl/ctrlProps/ctrlProp306.xml><?xml version="1.0" encoding="utf-8"?>
<formControlPr xmlns="http://schemas.microsoft.com/office/spreadsheetml/2009/9/main" objectType="CheckBox" fmlaLink="$D$8" lockText="1"/>
</file>

<file path=xl/ctrlProps/ctrlProp307.xml><?xml version="1.0" encoding="utf-8"?>
<formControlPr xmlns="http://schemas.microsoft.com/office/spreadsheetml/2009/9/main" objectType="CheckBox" fmlaLink="$D$8" lockText="1"/>
</file>

<file path=xl/ctrlProps/ctrlProp308.xml><?xml version="1.0" encoding="utf-8"?>
<formControlPr xmlns="http://schemas.microsoft.com/office/spreadsheetml/2009/9/main" objectType="CheckBox" fmlaLink="$D$8" lockText="1"/>
</file>

<file path=xl/ctrlProps/ctrlProp309.xml><?xml version="1.0" encoding="utf-8"?>
<formControlPr xmlns="http://schemas.microsoft.com/office/spreadsheetml/2009/9/main" objectType="CheckBox" fmlaLink="$D$8" lockText="1"/>
</file>

<file path=xl/ctrlProps/ctrlProp31.xml><?xml version="1.0" encoding="utf-8"?>
<formControlPr xmlns="http://schemas.microsoft.com/office/spreadsheetml/2009/9/main" objectType="CheckBox" fmlaLink="$B$20" lockText="1"/>
</file>

<file path=xl/ctrlProps/ctrlProp310.xml><?xml version="1.0" encoding="utf-8"?>
<formControlPr xmlns="http://schemas.microsoft.com/office/spreadsheetml/2009/9/main" objectType="CheckBox" fmlaLink="$D$8" lockText="1"/>
</file>

<file path=xl/ctrlProps/ctrlProp311.xml><?xml version="1.0" encoding="utf-8"?>
<formControlPr xmlns="http://schemas.microsoft.com/office/spreadsheetml/2009/9/main" objectType="CheckBox" fmlaLink="$D$23" lockText="1"/>
</file>

<file path=xl/ctrlProps/ctrlProp312.xml><?xml version="1.0" encoding="utf-8"?>
<formControlPr xmlns="http://schemas.microsoft.com/office/spreadsheetml/2009/9/main" objectType="CheckBox" fmlaLink="$D$8" lockText="1" noThreeD="1"/>
</file>

<file path=xl/ctrlProps/ctrlProp313.xml><?xml version="1.0" encoding="utf-8"?>
<formControlPr xmlns="http://schemas.microsoft.com/office/spreadsheetml/2009/9/main" objectType="CheckBox" fmlaLink="D23" lockText="1" noThreeD="1"/>
</file>

<file path=xl/ctrlProps/ctrlProp314.xml><?xml version="1.0" encoding="utf-8"?>
<formControlPr xmlns="http://schemas.microsoft.com/office/spreadsheetml/2009/9/main" objectType="CheckBox" fmlaLink="$D$79" lockText="1" noThreeD="1"/>
</file>

<file path=xl/ctrlProps/ctrlProp315.xml><?xml version="1.0" encoding="utf-8"?>
<formControlPr xmlns="http://schemas.microsoft.com/office/spreadsheetml/2009/9/main" objectType="CheckBox" fmlaLink="$D$81" lockText="1" noThreeD="1"/>
</file>

<file path=xl/ctrlProps/ctrlProp316.xml><?xml version="1.0" encoding="utf-8"?>
<formControlPr xmlns="http://schemas.microsoft.com/office/spreadsheetml/2009/9/main" objectType="CheckBox" fmlaLink="$D$82" lockText="1" noThreeD="1"/>
</file>

<file path=xl/ctrlProps/ctrlProp317.xml><?xml version="1.0" encoding="utf-8"?>
<formControlPr xmlns="http://schemas.microsoft.com/office/spreadsheetml/2009/9/main" objectType="CheckBox" fmlaLink="$D$83" lockText="1" noThreeD="1"/>
</file>

<file path=xl/ctrlProps/ctrlProp318.xml><?xml version="1.0" encoding="utf-8"?>
<formControlPr xmlns="http://schemas.microsoft.com/office/spreadsheetml/2009/9/main" objectType="CheckBox" fmlaLink="$D$84" lockText="1" noThreeD="1"/>
</file>

<file path=xl/ctrlProps/ctrlProp319.xml><?xml version="1.0" encoding="utf-8"?>
<formControlPr xmlns="http://schemas.microsoft.com/office/spreadsheetml/2009/9/main" objectType="CheckBox" fmlaLink="$D$86" lockText="1" noThreeD="1"/>
</file>

<file path=xl/ctrlProps/ctrlProp32.xml><?xml version="1.0" encoding="utf-8"?>
<formControlPr xmlns="http://schemas.microsoft.com/office/spreadsheetml/2009/9/main" objectType="CheckBox" fmlaLink="$B$21" lockText="1"/>
</file>

<file path=xl/ctrlProps/ctrlProp320.xml><?xml version="1.0" encoding="utf-8"?>
<formControlPr xmlns="http://schemas.microsoft.com/office/spreadsheetml/2009/9/main" objectType="CheckBox" fmlaLink="$D$87" lockText="1" noThreeD="1"/>
</file>

<file path=xl/ctrlProps/ctrlProp321.xml><?xml version="1.0" encoding="utf-8"?>
<formControlPr xmlns="http://schemas.microsoft.com/office/spreadsheetml/2009/9/main" objectType="CheckBox" fmlaLink="$D$88" lockText="1" noThreeD="1"/>
</file>

<file path=xl/ctrlProps/ctrlProp322.xml><?xml version="1.0" encoding="utf-8"?>
<formControlPr xmlns="http://schemas.microsoft.com/office/spreadsheetml/2009/9/main" objectType="CheckBox" fmlaLink="$D$89" lockText="1" noThreeD="1"/>
</file>

<file path=xl/ctrlProps/ctrlProp323.xml><?xml version="1.0" encoding="utf-8"?>
<formControlPr xmlns="http://schemas.microsoft.com/office/spreadsheetml/2009/9/main" objectType="CheckBox" fmlaLink="D9" lockText="1" noThreeD="1"/>
</file>

<file path=xl/ctrlProps/ctrlProp324.xml><?xml version="1.0" encoding="utf-8"?>
<formControlPr xmlns="http://schemas.microsoft.com/office/spreadsheetml/2009/9/main" objectType="CheckBox" fmlaLink="D13" lockText="1" noThreeD="1"/>
</file>

<file path=xl/ctrlProps/ctrlProp325.xml><?xml version="1.0" encoding="utf-8"?>
<formControlPr xmlns="http://schemas.microsoft.com/office/spreadsheetml/2009/9/main" objectType="CheckBox" fmlaLink="D16" lockText="1" noThreeD="1"/>
</file>

<file path=xl/ctrlProps/ctrlProp326.xml><?xml version="1.0" encoding="utf-8"?>
<formControlPr xmlns="http://schemas.microsoft.com/office/spreadsheetml/2009/9/main" objectType="CheckBox" fmlaLink="D29" lockText="1" noThreeD="1"/>
</file>

<file path=xl/ctrlProps/ctrlProp327.xml><?xml version="1.0" encoding="utf-8"?>
<formControlPr xmlns="http://schemas.microsoft.com/office/spreadsheetml/2009/9/main" objectType="CheckBox" fmlaLink="D65" lockText="1" noThreeD="1"/>
</file>

<file path=xl/ctrlProps/ctrlProp328.xml><?xml version="1.0" encoding="utf-8"?>
<formControlPr xmlns="http://schemas.microsoft.com/office/spreadsheetml/2009/9/main" objectType="CheckBox" fmlaLink="D67" lockText="1" noThreeD="1"/>
</file>

<file path=xl/ctrlProps/ctrlProp329.xml><?xml version="1.0" encoding="utf-8"?>
<formControlPr xmlns="http://schemas.microsoft.com/office/spreadsheetml/2009/9/main" objectType="CheckBox" fmlaLink="D92" lockText="1" noThreeD="1"/>
</file>

<file path=xl/ctrlProps/ctrlProp33.xml><?xml version="1.0" encoding="utf-8"?>
<formControlPr xmlns="http://schemas.microsoft.com/office/spreadsheetml/2009/9/main" objectType="CheckBox" fmlaLink="$B$22" lockText="1"/>
</file>

<file path=xl/ctrlProps/ctrlProp330.xml><?xml version="1.0" encoding="utf-8"?>
<formControlPr xmlns="http://schemas.microsoft.com/office/spreadsheetml/2009/9/main" objectType="CheckBox" fmlaLink="D93" lockText="1" noThreeD="1"/>
</file>

<file path=xl/ctrlProps/ctrlProp331.xml><?xml version="1.0" encoding="utf-8"?>
<formControlPr xmlns="http://schemas.microsoft.com/office/spreadsheetml/2009/9/main" objectType="CheckBox" fmlaLink="D94" lockText="1" noThreeD="1"/>
</file>

<file path=xl/ctrlProps/ctrlProp332.xml><?xml version="1.0" encoding="utf-8"?>
<formControlPr xmlns="http://schemas.microsoft.com/office/spreadsheetml/2009/9/main" objectType="CheckBox" fmlaLink="D95" lockText="1" noThreeD="1"/>
</file>

<file path=xl/ctrlProps/ctrlProp333.xml><?xml version="1.0" encoding="utf-8"?>
<formControlPr xmlns="http://schemas.microsoft.com/office/spreadsheetml/2009/9/main" objectType="CheckBox" fmlaLink="$C$9" lockText="1"/>
</file>

<file path=xl/ctrlProps/ctrlProp334.xml><?xml version="1.0" encoding="utf-8"?>
<formControlPr xmlns="http://schemas.microsoft.com/office/spreadsheetml/2009/9/main" objectType="CheckBox" fmlaLink="$C$11" lockText="1"/>
</file>

<file path=xl/ctrlProps/ctrlProp335.xml><?xml version="1.0" encoding="utf-8"?>
<formControlPr xmlns="http://schemas.microsoft.com/office/spreadsheetml/2009/9/main" objectType="CheckBox" fmlaLink="$C$12" lockText="1"/>
</file>

<file path=xl/ctrlProps/ctrlProp336.xml><?xml version="1.0" encoding="utf-8"?>
<formControlPr xmlns="http://schemas.microsoft.com/office/spreadsheetml/2009/9/main" objectType="CheckBox" fmlaLink="$C$14" lockText="1"/>
</file>

<file path=xl/ctrlProps/ctrlProp337.xml><?xml version="1.0" encoding="utf-8"?>
<formControlPr xmlns="http://schemas.microsoft.com/office/spreadsheetml/2009/9/main" objectType="CheckBox" fmlaLink="$C$15" lockText="1"/>
</file>

<file path=xl/ctrlProps/ctrlProp338.xml><?xml version="1.0" encoding="utf-8"?>
<formControlPr xmlns="http://schemas.microsoft.com/office/spreadsheetml/2009/9/main" objectType="CheckBox" fmlaLink="$C$18" lockText="1"/>
</file>

<file path=xl/ctrlProps/ctrlProp339.xml><?xml version="1.0" encoding="utf-8"?>
<formControlPr xmlns="http://schemas.microsoft.com/office/spreadsheetml/2009/9/main" objectType="CheckBox" fmlaLink="$C$20" lockText="1"/>
</file>

<file path=xl/ctrlProps/ctrlProp34.xml><?xml version="1.0" encoding="utf-8"?>
<formControlPr xmlns="http://schemas.microsoft.com/office/spreadsheetml/2009/9/main" objectType="CheckBox" fmlaLink="$B$23" lockText="1"/>
</file>

<file path=xl/ctrlProps/ctrlProp340.xml><?xml version="1.0" encoding="utf-8"?>
<formControlPr xmlns="http://schemas.microsoft.com/office/spreadsheetml/2009/9/main" objectType="CheckBox" fmlaLink="$C$21" lockText="1"/>
</file>

<file path=xl/ctrlProps/ctrlProp341.xml><?xml version="1.0" encoding="utf-8"?>
<formControlPr xmlns="http://schemas.microsoft.com/office/spreadsheetml/2009/9/main" objectType="CheckBox" fmlaLink="$C$16" lockText="1"/>
</file>

<file path=xl/ctrlProps/ctrlProp35.xml><?xml version="1.0" encoding="utf-8"?>
<formControlPr xmlns="http://schemas.microsoft.com/office/spreadsheetml/2009/9/main" objectType="CheckBox" fmlaLink="$B$24" lockText="1"/>
</file>

<file path=xl/ctrlProps/ctrlProp36.xml><?xml version="1.0" encoding="utf-8"?>
<formControlPr xmlns="http://schemas.microsoft.com/office/spreadsheetml/2009/9/main" objectType="CheckBox" fmlaLink="$B$26" lockText="1"/>
</file>

<file path=xl/ctrlProps/ctrlProp37.xml><?xml version="1.0" encoding="utf-8"?>
<formControlPr xmlns="http://schemas.microsoft.com/office/spreadsheetml/2009/9/main" objectType="CheckBox" fmlaLink="$B$27" lockText="1"/>
</file>

<file path=xl/ctrlProps/ctrlProp38.xml><?xml version="1.0" encoding="utf-8"?>
<formControlPr xmlns="http://schemas.microsoft.com/office/spreadsheetml/2009/9/main" objectType="CheckBox" fmlaLink="$B$28" lockText="1"/>
</file>

<file path=xl/ctrlProps/ctrlProp39.xml><?xml version="1.0" encoding="utf-8"?>
<formControlPr xmlns="http://schemas.microsoft.com/office/spreadsheetml/2009/9/main" objectType="CheckBox" fmlaLink="$B$29"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30" lockText="1"/>
</file>

<file path=xl/ctrlProps/ctrlProp41.xml><?xml version="1.0" encoding="utf-8"?>
<formControlPr xmlns="http://schemas.microsoft.com/office/spreadsheetml/2009/9/main" objectType="CheckBox" fmlaLink="$B$31" lockText="1"/>
</file>

<file path=xl/ctrlProps/ctrlProp42.xml><?xml version="1.0" encoding="utf-8"?>
<formControlPr xmlns="http://schemas.microsoft.com/office/spreadsheetml/2009/9/main" objectType="CheckBox" fmlaLink="$B$32" lockText="1"/>
</file>

<file path=xl/ctrlProps/ctrlProp43.xml><?xml version="1.0" encoding="utf-8"?>
<formControlPr xmlns="http://schemas.microsoft.com/office/spreadsheetml/2009/9/main" objectType="CheckBox" fmlaLink="$B$70" lockText="1"/>
</file>

<file path=xl/ctrlProps/ctrlProp44.xml><?xml version="1.0" encoding="utf-8"?>
<formControlPr xmlns="http://schemas.microsoft.com/office/spreadsheetml/2009/9/main" objectType="CheckBox" fmlaLink="$B$71" lockText="1"/>
</file>

<file path=xl/ctrlProps/ctrlProp45.xml><?xml version="1.0" encoding="utf-8"?>
<formControlPr xmlns="http://schemas.microsoft.com/office/spreadsheetml/2009/9/main" objectType="CheckBox" fmlaLink="$B$72" lockText="1"/>
</file>

<file path=xl/ctrlProps/ctrlProp46.xml><?xml version="1.0" encoding="utf-8"?>
<formControlPr xmlns="http://schemas.microsoft.com/office/spreadsheetml/2009/9/main" objectType="CheckBox" fmlaLink="$B$73" lockText="1"/>
</file>

<file path=xl/ctrlProps/ctrlProp47.xml><?xml version="1.0" encoding="utf-8"?>
<formControlPr xmlns="http://schemas.microsoft.com/office/spreadsheetml/2009/9/main" objectType="CheckBox" fmlaLink="$B$74" lockText="1"/>
</file>

<file path=xl/ctrlProps/ctrlProp48.xml><?xml version="1.0" encoding="utf-8"?>
<formControlPr xmlns="http://schemas.microsoft.com/office/spreadsheetml/2009/9/main" objectType="CheckBox" fmlaLink="$B$75" lockText="1"/>
</file>

<file path=xl/ctrlProps/ctrlProp49.xml><?xml version="1.0" encoding="utf-8"?>
<formControlPr xmlns="http://schemas.microsoft.com/office/spreadsheetml/2009/9/main" objectType="CheckBox" fmlaLink="$B$76"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77" lockText="1"/>
</file>

<file path=xl/ctrlProps/ctrlProp51.xml><?xml version="1.0" encoding="utf-8"?>
<formControlPr xmlns="http://schemas.microsoft.com/office/spreadsheetml/2009/9/main" objectType="CheckBox" fmlaLink="$B$79" lockText="1"/>
</file>

<file path=xl/ctrlProps/ctrlProp52.xml><?xml version="1.0" encoding="utf-8"?>
<formControlPr xmlns="http://schemas.microsoft.com/office/spreadsheetml/2009/9/main" objectType="CheckBox" fmlaLink="$B$80" lockText="1"/>
</file>

<file path=xl/ctrlProps/ctrlProp53.xml><?xml version="1.0" encoding="utf-8"?>
<formControlPr xmlns="http://schemas.microsoft.com/office/spreadsheetml/2009/9/main" objectType="CheckBox" fmlaLink="$B$81" lockText="1"/>
</file>

<file path=xl/ctrlProps/ctrlProp54.xml><?xml version="1.0" encoding="utf-8"?>
<formControlPr xmlns="http://schemas.microsoft.com/office/spreadsheetml/2009/9/main" objectType="CheckBox" fmlaLink="$B$82" lockText="1"/>
</file>

<file path=xl/ctrlProps/ctrlProp55.xml><?xml version="1.0" encoding="utf-8"?>
<formControlPr xmlns="http://schemas.microsoft.com/office/spreadsheetml/2009/9/main" objectType="CheckBox" fmlaLink="$B$83" lockText="1"/>
</file>

<file path=xl/ctrlProps/ctrlProp56.xml><?xml version="1.0" encoding="utf-8"?>
<formControlPr xmlns="http://schemas.microsoft.com/office/spreadsheetml/2009/9/main" objectType="CheckBox" fmlaLink="$B$84" lockText="1"/>
</file>

<file path=xl/ctrlProps/ctrlProp57.xml><?xml version="1.0" encoding="utf-8"?>
<formControlPr xmlns="http://schemas.microsoft.com/office/spreadsheetml/2009/9/main" objectType="CheckBox" fmlaLink="$B$85" lockText="1"/>
</file>

<file path=xl/ctrlProps/ctrlProp58.xml><?xml version="1.0" encoding="utf-8"?>
<formControlPr xmlns="http://schemas.microsoft.com/office/spreadsheetml/2009/9/main" objectType="CheckBox" fmlaLink="$B$95" lockText="1"/>
</file>

<file path=xl/ctrlProps/ctrlProp59.xml><?xml version="1.0" encoding="utf-8"?>
<formControlPr xmlns="http://schemas.microsoft.com/office/spreadsheetml/2009/9/main" objectType="CheckBox" fmlaLink="$B$96"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97" lockText="1"/>
</file>

<file path=xl/ctrlProps/ctrlProp61.xml><?xml version="1.0" encoding="utf-8"?>
<formControlPr xmlns="http://schemas.microsoft.com/office/spreadsheetml/2009/9/main" objectType="CheckBox" fmlaLink="$B$98" lockText="1"/>
</file>

<file path=xl/ctrlProps/ctrlProp62.xml><?xml version="1.0" encoding="utf-8"?>
<formControlPr xmlns="http://schemas.microsoft.com/office/spreadsheetml/2009/9/main" objectType="CheckBox" fmlaLink="$B$99" lockText="1"/>
</file>

<file path=xl/ctrlProps/ctrlProp63.xml><?xml version="1.0" encoding="utf-8"?>
<formControlPr xmlns="http://schemas.microsoft.com/office/spreadsheetml/2009/9/main" objectType="CheckBox" fmlaLink="$B$100" lockText="1"/>
</file>

<file path=xl/ctrlProps/ctrlProp64.xml><?xml version="1.0" encoding="utf-8"?>
<formControlPr xmlns="http://schemas.microsoft.com/office/spreadsheetml/2009/9/main" objectType="CheckBox" fmlaLink="$B$102" lockText="1"/>
</file>

<file path=xl/ctrlProps/ctrlProp65.xml><?xml version="1.0" encoding="utf-8"?>
<formControlPr xmlns="http://schemas.microsoft.com/office/spreadsheetml/2009/9/main" objectType="CheckBox" fmlaLink="$B$103" lockText="1"/>
</file>

<file path=xl/ctrlProps/ctrlProp66.xml><?xml version="1.0" encoding="utf-8"?>
<formControlPr xmlns="http://schemas.microsoft.com/office/spreadsheetml/2009/9/main" objectType="CheckBox" fmlaLink="$B$104" lockText="1"/>
</file>

<file path=xl/ctrlProps/ctrlProp67.xml><?xml version="1.0" encoding="utf-8"?>
<formControlPr xmlns="http://schemas.microsoft.com/office/spreadsheetml/2009/9/main" objectType="CheckBox" fmlaLink="$B$105" lockText="1"/>
</file>

<file path=xl/ctrlProps/ctrlProp68.xml><?xml version="1.0" encoding="utf-8"?>
<formControlPr xmlns="http://schemas.microsoft.com/office/spreadsheetml/2009/9/main" objectType="CheckBox" fmlaLink="$B$106" lockText="1"/>
</file>

<file path=xl/ctrlProps/ctrlProp69.xml><?xml version="1.0" encoding="utf-8"?>
<formControlPr xmlns="http://schemas.microsoft.com/office/spreadsheetml/2009/9/main" objectType="CheckBox" fmlaLink="$B$107"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08" lockText="1"/>
</file>

<file path=xl/ctrlProps/ctrlProp71.xml><?xml version="1.0" encoding="utf-8"?>
<formControlPr xmlns="http://schemas.microsoft.com/office/spreadsheetml/2009/9/main" objectType="CheckBox" fmlaLink="$B$116" lockText="1"/>
</file>

<file path=xl/ctrlProps/ctrlProp72.xml><?xml version="1.0" encoding="utf-8"?>
<formControlPr xmlns="http://schemas.microsoft.com/office/spreadsheetml/2009/9/main" objectType="CheckBox" fmlaLink="$B$117" lockText="1"/>
</file>

<file path=xl/ctrlProps/ctrlProp73.xml><?xml version="1.0" encoding="utf-8"?>
<formControlPr xmlns="http://schemas.microsoft.com/office/spreadsheetml/2009/9/main" objectType="CheckBox" fmlaLink="$B$118" lockText="1"/>
</file>

<file path=xl/ctrlProps/ctrlProp74.xml><?xml version="1.0" encoding="utf-8"?>
<formControlPr xmlns="http://schemas.microsoft.com/office/spreadsheetml/2009/9/main" objectType="CheckBox" fmlaLink="$B$119" lockText="1"/>
</file>

<file path=xl/ctrlProps/ctrlProp75.xml><?xml version="1.0" encoding="utf-8"?>
<formControlPr xmlns="http://schemas.microsoft.com/office/spreadsheetml/2009/9/main" objectType="CheckBox" fmlaLink="$B$120" lockText="1"/>
</file>

<file path=xl/ctrlProps/ctrlProp76.xml><?xml version="1.0" encoding="utf-8"?>
<formControlPr xmlns="http://schemas.microsoft.com/office/spreadsheetml/2009/9/main" objectType="CheckBox" fmlaLink="$B$122" lockText="1"/>
</file>

<file path=xl/ctrlProps/ctrlProp77.xml><?xml version="1.0" encoding="utf-8"?>
<formControlPr xmlns="http://schemas.microsoft.com/office/spreadsheetml/2009/9/main" objectType="CheckBox" fmlaLink="$B$123" lockText="1"/>
</file>

<file path=xl/ctrlProps/ctrlProp78.xml><?xml version="1.0" encoding="utf-8"?>
<formControlPr xmlns="http://schemas.microsoft.com/office/spreadsheetml/2009/9/main" objectType="CheckBox" fmlaLink="$B$124" lockText="1"/>
</file>

<file path=xl/ctrlProps/ctrlProp79.xml><?xml version="1.0" encoding="utf-8"?>
<formControlPr xmlns="http://schemas.microsoft.com/office/spreadsheetml/2009/9/main" objectType="CheckBox" fmlaLink="$B$125"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26" lockText="1"/>
</file>

<file path=xl/ctrlProps/ctrlProp81.xml><?xml version="1.0" encoding="utf-8"?>
<formControlPr xmlns="http://schemas.microsoft.com/office/spreadsheetml/2009/9/main" objectType="CheckBox" fmlaLink="$B$127" lockText="1"/>
</file>

<file path=xl/ctrlProps/ctrlProp82.xml><?xml version="1.0" encoding="utf-8"?>
<formControlPr xmlns="http://schemas.microsoft.com/office/spreadsheetml/2009/9/main" objectType="CheckBox" fmlaLink="$B$128" lockText="1"/>
</file>

<file path=xl/ctrlProps/ctrlProp83.xml><?xml version="1.0" encoding="utf-8"?>
<formControlPr xmlns="http://schemas.microsoft.com/office/spreadsheetml/2009/9/main" objectType="CheckBox" fmlaLink="$B$134" lockText="1"/>
</file>

<file path=xl/ctrlProps/ctrlProp84.xml><?xml version="1.0" encoding="utf-8"?>
<formControlPr xmlns="http://schemas.microsoft.com/office/spreadsheetml/2009/9/main" objectType="CheckBox" fmlaLink="$B$135" lockText="1"/>
</file>

<file path=xl/ctrlProps/ctrlProp85.xml><?xml version="1.0" encoding="utf-8"?>
<formControlPr xmlns="http://schemas.microsoft.com/office/spreadsheetml/2009/9/main" objectType="CheckBox" fmlaLink="$B$136" lockText="1"/>
</file>

<file path=xl/ctrlProps/ctrlProp86.xml><?xml version="1.0" encoding="utf-8"?>
<formControlPr xmlns="http://schemas.microsoft.com/office/spreadsheetml/2009/9/main" objectType="CheckBox" fmlaLink="$B$141" lockText="1"/>
</file>

<file path=xl/ctrlProps/ctrlProp87.xml><?xml version="1.0" encoding="utf-8"?>
<formControlPr xmlns="http://schemas.microsoft.com/office/spreadsheetml/2009/9/main" objectType="CheckBox" fmlaLink="$B$142" lockText="1"/>
</file>

<file path=xl/ctrlProps/ctrlProp88.xml><?xml version="1.0" encoding="utf-8"?>
<formControlPr xmlns="http://schemas.microsoft.com/office/spreadsheetml/2009/9/main" objectType="CheckBox" fmlaLink="$B$148" lockText="1"/>
</file>

<file path=xl/ctrlProps/ctrlProp89.xml><?xml version="1.0" encoding="utf-8"?>
<formControlPr xmlns="http://schemas.microsoft.com/office/spreadsheetml/2009/9/main" objectType="CheckBox" fmlaLink="$B$149"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50" lockText="1"/>
</file>

<file path=xl/ctrlProps/ctrlProp91.xml><?xml version="1.0" encoding="utf-8"?>
<formControlPr xmlns="http://schemas.microsoft.com/office/spreadsheetml/2009/9/main" objectType="CheckBox" fmlaLink="$B$151" lockText="1"/>
</file>

<file path=xl/ctrlProps/ctrlProp92.xml><?xml version="1.0" encoding="utf-8"?>
<formControlPr xmlns="http://schemas.microsoft.com/office/spreadsheetml/2009/9/main" objectType="CheckBox" fmlaLink="$B$152" lockText="1"/>
</file>

<file path=xl/ctrlProps/ctrlProp93.xml><?xml version="1.0" encoding="utf-8"?>
<formControlPr xmlns="http://schemas.microsoft.com/office/spreadsheetml/2009/9/main" objectType="CheckBox" fmlaLink="$B$153" lockText="1"/>
</file>

<file path=xl/ctrlProps/ctrlProp94.xml><?xml version="1.0" encoding="utf-8"?>
<formControlPr xmlns="http://schemas.microsoft.com/office/spreadsheetml/2009/9/main" objectType="CheckBox" fmlaLink="$B$154" lockText="1"/>
</file>

<file path=xl/ctrlProps/ctrlProp95.xml><?xml version="1.0" encoding="utf-8"?>
<formControlPr xmlns="http://schemas.microsoft.com/office/spreadsheetml/2009/9/main" objectType="CheckBox" fmlaLink="$B$161" lockText="1"/>
</file>

<file path=xl/ctrlProps/ctrlProp96.xml><?xml version="1.0" encoding="utf-8"?>
<formControlPr xmlns="http://schemas.microsoft.com/office/spreadsheetml/2009/9/main" objectType="CheckBox" fmlaLink="$B$162" lockText="1"/>
</file>

<file path=xl/ctrlProps/ctrlProp97.xml><?xml version="1.0" encoding="utf-8"?>
<formControlPr xmlns="http://schemas.microsoft.com/office/spreadsheetml/2009/9/main" objectType="CheckBox" fmlaLink="$B$163" lockText="1"/>
</file>

<file path=xl/ctrlProps/ctrlProp98.xml><?xml version="1.0" encoding="utf-8"?>
<formControlPr xmlns="http://schemas.microsoft.com/office/spreadsheetml/2009/9/main" objectType="CheckBox" fmlaLink="$B$164" lockText="1"/>
</file>

<file path=xl/ctrlProps/ctrlProp99.xml><?xml version="1.0" encoding="utf-8"?>
<formControlPr xmlns="http://schemas.microsoft.com/office/spreadsheetml/2009/9/main" objectType="CheckBox" fmlaLink="$B$165"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347" name="Check Box 27" hidden="1">
              <a:extLst>
                <a:ext uri="{63B3BB69-23CF-44E3-9099-C40C66FF867C}">
                  <a14:compatExt spid="_x0000_s56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6" name="Check Box 96" hidden="1">
              <a:extLst>
                <a:ext uri="{63B3BB69-23CF-44E3-9099-C40C66FF867C}">
                  <a14:compatExt spid="_x0000_s56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7" name="Check Box 97" hidden="1">
              <a:extLst>
                <a:ext uri="{63B3BB69-23CF-44E3-9099-C40C66FF867C}">
                  <a14:compatExt spid="_x0000_s56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8" name="Check Box 98" hidden="1">
              <a:extLst>
                <a:ext uri="{63B3BB69-23CF-44E3-9099-C40C66FF867C}">
                  <a14:compatExt spid="_x0000_s56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9" name="Check Box 99" hidden="1">
              <a:extLst>
                <a:ext uri="{63B3BB69-23CF-44E3-9099-C40C66FF867C}">
                  <a14:compatExt spid="_x0000_s56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20" name="Check Box 100" hidden="1">
              <a:extLst>
                <a:ext uri="{63B3BB69-23CF-44E3-9099-C40C66FF867C}">
                  <a14:compatExt spid="_x0000_s56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1" name="Check Box 101" hidden="1">
              <a:extLst>
                <a:ext uri="{63B3BB69-23CF-44E3-9099-C40C66FF867C}">
                  <a14:compatExt spid="_x0000_s56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22" name="Check Box 102" hidden="1">
              <a:extLst>
                <a:ext uri="{63B3BB69-23CF-44E3-9099-C40C66FF867C}">
                  <a14:compatExt spid="_x0000_s56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3" name="Check Box 103" hidden="1">
              <a:extLst>
                <a:ext uri="{63B3BB69-23CF-44E3-9099-C40C66FF867C}">
                  <a14:compatExt spid="_x0000_s56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425450</xdr:colOff>
          <xdr:row>77</xdr:row>
          <xdr:rowOff>304800</xdr:rowOff>
        </xdr:from>
        <xdr:to>
          <xdr:col>3</xdr:col>
          <xdr:colOff>615950</xdr:colOff>
          <xdr:row>78</xdr:row>
          <xdr:rowOff>279400</xdr:rowOff>
        </xdr:to>
        <xdr:sp macro="" textlink="">
          <xdr:nvSpPr>
            <xdr:cNvPr id="56424" name="Check Box 104" hidden="1">
              <a:extLst>
                <a:ext uri="{63B3BB69-23CF-44E3-9099-C40C66FF867C}">
                  <a14:compatExt spid="_x0000_s56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80</xdr:row>
          <xdr:rowOff>38100</xdr:rowOff>
        </xdr:from>
        <xdr:to>
          <xdr:col>3</xdr:col>
          <xdr:colOff>622300</xdr:colOff>
          <xdr:row>80</xdr:row>
          <xdr:rowOff>234950</xdr:rowOff>
        </xdr:to>
        <xdr:sp macro="" textlink="">
          <xdr:nvSpPr>
            <xdr:cNvPr id="56425" name="Check Box 105" hidden="1">
              <a:extLst>
                <a:ext uri="{63B3BB69-23CF-44E3-9099-C40C66FF867C}">
                  <a14:compatExt spid="_x0000_s56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81</xdr:row>
          <xdr:rowOff>69850</xdr:rowOff>
        </xdr:from>
        <xdr:to>
          <xdr:col>3</xdr:col>
          <xdr:colOff>647700</xdr:colOff>
          <xdr:row>82</xdr:row>
          <xdr:rowOff>6350</xdr:rowOff>
        </xdr:to>
        <xdr:sp macro="" textlink="">
          <xdr:nvSpPr>
            <xdr:cNvPr id="56426" name="Check Box 106" hidden="1">
              <a:extLst>
                <a:ext uri="{63B3BB69-23CF-44E3-9099-C40C66FF867C}">
                  <a14:compatExt spid="_x0000_s56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82</xdr:row>
          <xdr:rowOff>6350</xdr:rowOff>
        </xdr:from>
        <xdr:to>
          <xdr:col>3</xdr:col>
          <xdr:colOff>615950</xdr:colOff>
          <xdr:row>82</xdr:row>
          <xdr:rowOff>266700</xdr:rowOff>
        </xdr:to>
        <xdr:sp macro="" textlink="">
          <xdr:nvSpPr>
            <xdr:cNvPr id="56427" name="Check Box 107" hidden="1">
              <a:extLst>
                <a:ext uri="{63B3BB69-23CF-44E3-9099-C40C66FF867C}">
                  <a14:compatExt spid="_x0000_s56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83</xdr:row>
          <xdr:rowOff>19050</xdr:rowOff>
        </xdr:from>
        <xdr:to>
          <xdr:col>3</xdr:col>
          <xdr:colOff>654050</xdr:colOff>
          <xdr:row>83</xdr:row>
          <xdr:rowOff>247650</xdr:rowOff>
        </xdr:to>
        <xdr:sp macro="" textlink="">
          <xdr:nvSpPr>
            <xdr:cNvPr id="56428" name="Check Box 108" hidden="1">
              <a:extLst>
                <a:ext uri="{63B3BB69-23CF-44E3-9099-C40C66FF867C}">
                  <a14:compatExt spid="_x0000_s56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85</xdr:row>
          <xdr:rowOff>31750</xdr:rowOff>
        </xdr:from>
        <xdr:to>
          <xdr:col>3</xdr:col>
          <xdr:colOff>641350</xdr:colOff>
          <xdr:row>86</xdr:row>
          <xdr:rowOff>12700</xdr:rowOff>
        </xdr:to>
        <xdr:sp macro="" textlink="">
          <xdr:nvSpPr>
            <xdr:cNvPr id="56429" name="Check Box 109" hidden="1">
              <a:extLst>
                <a:ext uri="{63B3BB69-23CF-44E3-9099-C40C66FF867C}">
                  <a14:compatExt spid="_x0000_s56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86</xdr:row>
          <xdr:rowOff>69850</xdr:rowOff>
        </xdr:from>
        <xdr:to>
          <xdr:col>3</xdr:col>
          <xdr:colOff>641350</xdr:colOff>
          <xdr:row>87</xdr:row>
          <xdr:rowOff>6350</xdr:rowOff>
        </xdr:to>
        <xdr:sp macro="" textlink="">
          <xdr:nvSpPr>
            <xdr:cNvPr id="56430" name="Check Box 110" hidden="1">
              <a:extLst>
                <a:ext uri="{63B3BB69-23CF-44E3-9099-C40C66FF867C}">
                  <a14:compatExt spid="_x0000_s56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87</xdr:row>
          <xdr:rowOff>31750</xdr:rowOff>
        </xdr:from>
        <xdr:to>
          <xdr:col>3</xdr:col>
          <xdr:colOff>577850</xdr:colOff>
          <xdr:row>87</xdr:row>
          <xdr:rowOff>184150</xdr:rowOff>
        </xdr:to>
        <xdr:sp macro="" textlink="">
          <xdr:nvSpPr>
            <xdr:cNvPr id="56431" name="Check Box 111" hidden="1">
              <a:extLst>
                <a:ext uri="{63B3BB69-23CF-44E3-9099-C40C66FF867C}">
                  <a14:compatExt spid="_x0000_s56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88</xdr:row>
          <xdr:rowOff>57150</xdr:rowOff>
        </xdr:from>
        <xdr:to>
          <xdr:col>3</xdr:col>
          <xdr:colOff>596900</xdr:colOff>
          <xdr:row>88</xdr:row>
          <xdr:rowOff>342900</xdr:rowOff>
        </xdr:to>
        <xdr:sp macro="" textlink="">
          <xdr:nvSpPr>
            <xdr:cNvPr id="56432" name="Check Box 112" hidden="1">
              <a:extLst>
                <a:ext uri="{63B3BB69-23CF-44E3-9099-C40C66FF867C}">
                  <a14:compatExt spid="_x0000_s56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6350</xdr:rowOff>
        </xdr:from>
        <xdr:to>
          <xdr:col>3</xdr:col>
          <xdr:colOff>311150</xdr:colOff>
          <xdr:row>8</xdr:row>
          <xdr:rowOff>177800</xdr:rowOff>
        </xdr:to>
        <xdr:sp macro="" textlink="">
          <xdr:nvSpPr>
            <xdr:cNvPr id="56433" name="Check Box 113" hidden="1">
              <a:extLst>
                <a:ext uri="{63B3BB69-23CF-44E3-9099-C40C66FF867C}">
                  <a14:compatExt spid="_x0000_s56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190500</xdr:rowOff>
        </xdr:from>
        <xdr:to>
          <xdr:col>3</xdr:col>
          <xdr:colOff>336550</xdr:colOff>
          <xdr:row>12</xdr:row>
          <xdr:rowOff>190500</xdr:rowOff>
        </xdr:to>
        <xdr:sp macro="" textlink="">
          <xdr:nvSpPr>
            <xdr:cNvPr id="56434" name="Check Box 114" hidden="1">
              <a:extLst>
                <a:ext uri="{63B3BB69-23CF-44E3-9099-C40C66FF867C}">
                  <a14:compatExt spid="_x0000_s56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15</xdr:row>
          <xdr:rowOff>12700</xdr:rowOff>
        </xdr:from>
        <xdr:to>
          <xdr:col>3</xdr:col>
          <xdr:colOff>342900</xdr:colOff>
          <xdr:row>15</xdr:row>
          <xdr:rowOff>190500</xdr:rowOff>
        </xdr:to>
        <xdr:sp macro="" textlink="">
          <xdr:nvSpPr>
            <xdr:cNvPr id="56435" name="Check Box 115" hidden="1">
              <a:extLst>
                <a:ext uri="{63B3BB69-23CF-44E3-9099-C40C66FF867C}">
                  <a14:compatExt spid="_x0000_s56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28</xdr:row>
          <xdr:rowOff>88900</xdr:rowOff>
        </xdr:from>
        <xdr:to>
          <xdr:col>3</xdr:col>
          <xdr:colOff>666750</xdr:colOff>
          <xdr:row>28</xdr:row>
          <xdr:rowOff>336550</xdr:rowOff>
        </xdr:to>
        <xdr:sp macro="" textlink="">
          <xdr:nvSpPr>
            <xdr:cNvPr id="56436" name="Check Box 116" hidden="1">
              <a:extLst>
                <a:ext uri="{63B3BB69-23CF-44E3-9099-C40C66FF867C}">
                  <a14:compatExt spid="_x0000_s56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64</xdr:row>
          <xdr:rowOff>139700</xdr:rowOff>
        </xdr:from>
        <xdr:to>
          <xdr:col>3</xdr:col>
          <xdr:colOff>463550</xdr:colOff>
          <xdr:row>64</xdr:row>
          <xdr:rowOff>298450</xdr:rowOff>
        </xdr:to>
        <xdr:sp macro="" textlink="">
          <xdr:nvSpPr>
            <xdr:cNvPr id="56437" name="Check Box 117" hidden="1">
              <a:extLst>
                <a:ext uri="{63B3BB69-23CF-44E3-9099-C40C66FF867C}">
                  <a14:compatExt spid="_x0000_s56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66</xdr:row>
          <xdr:rowOff>57150</xdr:rowOff>
        </xdr:from>
        <xdr:to>
          <xdr:col>3</xdr:col>
          <xdr:colOff>450850</xdr:colOff>
          <xdr:row>66</xdr:row>
          <xdr:rowOff>254000</xdr:rowOff>
        </xdr:to>
        <xdr:sp macro="" textlink="">
          <xdr:nvSpPr>
            <xdr:cNvPr id="56438" name="Check Box 118" hidden="1">
              <a:extLst>
                <a:ext uri="{63B3BB69-23CF-44E3-9099-C40C66FF867C}">
                  <a14:compatExt spid="_x0000_s56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91</xdr:row>
          <xdr:rowOff>171450</xdr:rowOff>
        </xdr:from>
        <xdr:to>
          <xdr:col>3</xdr:col>
          <xdr:colOff>520700</xdr:colOff>
          <xdr:row>91</xdr:row>
          <xdr:rowOff>425450</xdr:rowOff>
        </xdr:to>
        <xdr:sp macro="" textlink="">
          <xdr:nvSpPr>
            <xdr:cNvPr id="56439" name="Check Box 119" hidden="1">
              <a:extLst>
                <a:ext uri="{63B3BB69-23CF-44E3-9099-C40C66FF867C}">
                  <a14:compatExt spid="_x0000_s56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92</xdr:row>
          <xdr:rowOff>177800</xdr:rowOff>
        </xdr:from>
        <xdr:to>
          <xdr:col>3</xdr:col>
          <xdr:colOff>501650</xdr:colOff>
          <xdr:row>92</xdr:row>
          <xdr:rowOff>450850</xdr:rowOff>
        </xdr:to>
        <xdr:sp macro="" textlink="">
          <xdr:nvSpPr>
            <xdr:cNvPr id="56440" name="Check Box 120" hidden="1">
              <a:extLst>
                <a:ext uri="{63B3BB69-23CF-44E3-9099-C40C66FF867C}">
                  <a14:compatExt spid="_x0000_s56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93</xdr:row>
          <xdr:rowOff>165100</xdr:rowOff>
        </xdr:from>
        <xdr:to>
          <xdr:col>3</xdr:col>
          <xdr:colOff>514350</xdr:colOff>
          <xdr:row>93</xdr:row>
          <xdr:rowOff>387350</xdr:rowOff>
        </xdr:to>
        <xdr:sp macro="" textlink="">
          <xdr:nvSpPr>
            <xdr:cNvPr id="56442" name="Check Box 122" hidden="1">
              <a:extLst>
                <a:ext uri="{63B3BB69-23CF-44E3-9099-C40C66FF867C}">
                  <a14:compatExt spid="_x0000_s56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94</xdr:row>
          <xdr:rowOff>120650</xdr:rowOff>
        </xdr:from>
        <xdr:to>
          <xdr:col>3</xdr:col>
          <xdr:colOff>514350</xdr:colOff>
          <xdr:row>94</xdr:row>
          <xdr:rowOff>349250</xdr:rowOff>
        </xdr:to>
        <xdr:sp macro="" textlink="">
          <xdr:nvSpPr>
            <xdr:cNvPr id="56443" name="Check Box 123" hidden="1">
              <a:extLst>
                <a:ext uri="{63B3BB69-23CF-44E3-9099-C40C66FF867C}">
                  <a14:compatExt spid="_x0000_s56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11</xdr:row>
          <xdr:rowOff>0</xdr:rowOff>
        </xdr:from>
        <xdr:to>
          <xdr:col>2</xdr:col>
          <xdr:colOff>609600</xdr:colOff>
          <xdr:row>11</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17</xdr:row>
          <xdr:rowOff>0</xdr:rowOff>
        </xdr:from>
        <xdr:to>
          <xdr:col>2</xdr:col>
          <xdr:colOff>609600</xdr:colOff>
          <xdr:row>17</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419100</xdr:colOff>
          <xdr:row>39</xdr:row>
          <xdr:rowOff>0</xdr:rowOff>
        </xdr:from>
        <xdr:to>
          <xdr:col>1</xdr:col>
          <xdr:colOff>609600</xdr:colOff>
          <xdr:row>60</xdr:row>
          <xdr:rowOff>0</xdr:rowOff>
        </xdr:to>
        <xdr:grpSp>
          <xdr:nvGrpSpPr>
            <xdr:cNvPr id="4" name="Group 3"/>
            <xdr:cNvGrpSpPr/>
          </xdr:nvGrpSpPr>
          <xdr:grpSpPr>
            <a:xfrm>
              <a:off x="5048250" y="1781175"/>
              <a:ext cx="190500" cy="1781175"/>
              <a:chOff x="5048250" y="0"/>
              <a:chExt cx="190500" cy="1781175"/>
            </a:xfrm>
          </xdr:grpSpPr>
          <xdr:sp macro="" textlink="">
            <xdr:nvSpPr>
              <xdr:cNvPr id="45170" name="Check Box 114" hidden="1">
                <a:extLst>
                  <a:ext uri="{63B3BB69-23CF-44E3-9099-C40C66FF867C}">
                    <a14:compatExt spid="_x0000_s451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1" name="Check Box 115" hidden="1">
                <a:extLst>
                  <a:ext uri="{63B3BB69-23CF-44E3-9099-C40C66FF867C}">
                    <a14:compatExt spid="_x0000_s451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2" name="Check Box 116" hidden="1">
                <a:extLst>
                  <a:ext uri="{63B3BB69-23CF-44E3-9099-C40C66FF867C}">
                    <a14:compatExt spid="_x0000_s451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3" name="Check Box 117" hidden="1">
                <a:extLst>
                  <a:ext uri="{63B3BB69-23CF-44E3-9099-C40C66FF867C}">
                    <a14:compatExt spid="_x0000_s4517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4" name="Check Box 118" hidden="1">
                <a:extLst>
                  <a:ext uri="{63B3BB69-23CF-44E3-9099-C40C66FF867C}">
                    <a14:compatExt spid="_x0000_s4517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5" name="Check Box 119" hidden="1">
                <a:extLst>
                  <a:ext uri="{63B3BB69-23CF-44E3-9099-C40C66FF867C}">
                    <a14:compatExt spid="_x0000_s451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6" name="Check Box 120" hidden="1">
                <a:extLst>
                  <a:ext uri="{63B3BB69-23CF-44E3-9099-C40C66FF867C}">
                    <a14:compatExt spid="_x0000_s451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7" name="Check Box 121" hidden="1">
                <a:extLst>
                  <a:ext uri="{63B3BB69-23CF-44E3-9099-C40C66FF867C}">
                    <a14:compatExt spid="_x0000_s451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8" name="Check Box 122" hidden="1">
                <a:extLst>
                  <a:ext uri="{63B3BB69-23CF-44E3-9099-C40C66FF867C}">
                    <a14:compatExt spid="_x0000_s451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9" name="Check Box 123" hidden="1">
                <a:extLst>
                  <a:ext uri="{63B3BB69-23CF-44E3-9099-C40C66FF867C}">
                    <a14:compatExt spid="_x0000_s451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0" name="Check Box 124" hidden="1">
                <a:extLst>
                  <a:ext uri="{63B3BB69-23CF-44E3-9099-C40C66FF867C}">
                    <a14:compatExt spid="_x0000_s451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1" name="Check Box 125" hidden="1">
                <a:extLst>
                  <a:ext uri="{63B3BB69-23CF-44E3-9099-C40C66FF867C}">
                    <a14:compatExt spid="_x0000_s4518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2" name="Check Box 126" hidden="1">
                <a:extLst>
                  <a:ext uri="{63B3BB69-23CF-44E3-9099-C40C66FF867C}">
                    <a14:compatExt spid="_x0000_s4518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4" name="Check Box 128" hidden="1">
                <a:extLst>
                  <a:ext uri="{63B3BB69-23CF-44E3-9099-C40C66FF867C}">
                    <a14:compatExt spid="_x0000_s4518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5" name="Check Box 129" hidden="1">
                <a:extLst>
                  <a:ext uri="{63B3BB69-23CF-44E3-9099-C40C66FF867C}">
                    <a14:compatExt spid="_x0000_s4518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6" name="Check Box 130" hidden="1">
                <a:extLst>
                  <a:ext uri="{63B3BB69-23CF-44E3-9099-C40C66FF867C}">
                    <a14:compatExt spid="_x0000_s4518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7" name="Check Box 131" hidden="1">
                <a:extLst>
                  <a:ext uri="{63B3BB69-23CF-44E3-9099-C40C66FF867C}">
                    <a14:compatExt spid="_x0000_s4518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8" name="Check Box 132" hidden="1">
                <a:extLst>
                  <a:ext uri="{63B3BB69-23CF-44E3-9099-C40C66FF867C}">
                    <a14:compatExt spid="_x0000_s4518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9" name="Check Box 133" hidden="1">
                <a:extLst>
                  <a:ext uri="{63B3BB69-23CF-44E3-9099-C40C66FF867C}">
                    <a14:compatExt spid="_x0000_s4518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0" name="Check Box 134" hidden="1">
                <a:extLst>
                  <a:ext uri="{63B3BB69-23CF-44E3-9099-C40C66FF867C}">
                    <a14:compatExt spid="_x0000_s4519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xdr:row>
          <xdr:rowOff>0</xdr:rowOff>
        </xdr:from>
        <xdr:to>
          <xdr:col>1</xdr:col>
          <xdr:colOff>609600</xdr:colOff>
          <xdr:row>32</xdr:row>
          <xdr:rowOff>0</xdr:rowOff>
        </xdr:to>
        <xdr:grpSp>
          <xdr:nvGrpSpPr>
            <xdr:cNvPr id="3" name="Group 2"/>
            <xdr:cNvGrpSpPr/>
          </xdr:nvGrpSpPr>
          <xdr:grpSpPr>
            <a:xfrm>
              <a:off x="5048250" y="1781175"/>
              <a:ext cx="190500" cy="1781175"/>
              <a:chOff x="5048250" y="0"/>
              <a:chExt cx="190500" cy="1781175"/>
            </a:xfrm>
          </xdr:grpSpPr>
          <xdr:sp macro="" textlink="">
            <xdr:nvSpPr>
              <xdr:cNvPr id="45191" name="Check Box 135" hidden="1">
                <a:extLst>
                  <a:ext uri="{63B3BB69-23CF-44E3-9099-C40C66FF867C}">
                    <a14:compatExt spid="_x0000_s4519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2" name="Check Box 136" hidden="1">
                <a:extLst>
                  <a:ext uri="{63B3BB69-23CF-44E3-9099-C40C66FF867C}">
                    <a14:compatExt spid="_x0000_s4519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3" name="Check Box 137" hidden="1">
                <a:extLst>
                  <a:ext uri="{63B3BB69-23CF-44E3-9099-C40C66FF867C}">
                    <a14:compatExt spid="_x0000_s4519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4" name="Check Box 138" hidden="1">
                <a:extLst>
                  <a:ext uri="{63B3BB69-23CF-44E3-9099-C40C66FF867C}">
                    <a14:compatExt spid="_x0000_s4519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5" name="Check Box 139" hidden="1">
                <a:extLst>
                  <a:ext uri="{63B3BB69-23CF-44E3-9099-C40C66FF867C}">
                    <a14:compatExt spid="_x0000_s4519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6" name="Check Box 140" hidden="1">
                <a:extLst>
                  <a:ext uri="{63B3BB69-23CF-44E3-9099-C40C66FF867C}">
                    <a14:compatExt spid="_x0000_s45196"/>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7" name="Check Box 141" hidden="1">
                <a:extLst>
                  <a:ext uri="{63B3BB69-23CF-44E3-9099-C40C66FF867C}">
                    <a14:compatExt spid="_x0000_s45197"/>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8" name="Check Box 142" hidden="1">
                <a:extLst>
                  <a:ext uri="{63B3BB69-23CF-44E3-9099-C40C66FF867C}">
                    <a14:compatExt spid="_x0000_s45198"/>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9" name="Check Box 143" hidden="1">
                <a:extLst>
                  <a:ext uri="{63B3BB69-23CF-44E3-9099-C40C66FF867C}">
                    <a14:compatExt spid="_x0000_s45199"/>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0" name="Check Box 144" hidden="1">
                <a:extLst>
                  <a:ext uri="{63B3BB69-23CF-44E3-9099-C40C66FF867C}">
                    <a14:compatExt spid="_x0000_s45200"/>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1" name="Check Box 145" hidden="1">
                <a:extLst>
                  <a:ext uri="{63B3BB69-23CF-44E3-9099-C40C66FF867C}">
                    <a14:compatExt spid="_x0000_s4520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2" name="Check Box 146" hidden="1">
                <a:extLst>
                  <a:ext uri="{63B3BB69-23CF-44E3-9099-C40C66FF867C}">
                    <a14:compatExt spid="_x0000_s4520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3" name="Check Box 147" hidden="1">
                <a:extLst>
                  <a:ext uri="{63B3BB69-23CF-44E3-9099-C40C66FF867C}">
                    <a14:compatExt spid="_x0000_s4520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4" name="Check Box 148" hidden="1">
                <a:extLst>
                  <a:ext uri="{63B3BB69-23CF-44E3-9099-C40C66FF867C}">
                    <a14:compatExt spid="_x0000_s4520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5" name="Check Box 149" hidden="1">
                <a:extLst>
                  <a:ext uri="{63B3BB69-23CF-44E3-9099-C40C66FF867C}">
                    <a14:compatExt spid="_x0000_s4520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7" name="Check Box 151" hidden="1">
                <a:extLst>
                  <a:ext uri="{63B3BB69-23CF-44E3-9099-C40C66FF867C}">
                    <a14:compatExt spid="_x0000_s4520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8" name="Check Box 152" hidden="1">
                <a:extLst>
                  <a:ext uri="{63B3BB69-23CF-44E3-9099-C40C66FF867C}">
                    <a14:compatExt spid="_x0000_s4520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9" name="Check Box 153" hidden="1">
                <a:extLst>
                  <a:ext uri="{63B3BB69-23CF-44E3-9099-C40C66FF867C}">
                    <a14:compatExt spid="_x0000_s4520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0" name="Check Box 154" hidden="1">
                <a:extLst>
                  <a:ext uri="{63B3BB69-23CF-44E3-9099-C40C66FF867C}">
                    <a14:compatExt spid="_x0000_s4521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1" name="Check Box 155" hidden="1">
                <a:extLst>
                  <a:ext uri="{63B3BB69-23CF-44E3-9099-C40C66FF867C}">
                    <a14:compatExt spid="_x0000_s4521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2" name="Check Box 156" hidden="1">
                <a:extLst>
                  <a:ext uri="{63B3BB69-23CF-44E3-9099-C40C66FF867C}">
                    <a14:compatExt spid="_x0000_s4521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3" name="Check Box 157" hidden="1">
                <a:extLst>
                  <a:ext uri="{63B3BB69-23CF-44E3-9099-C40C66FF867C}">
                    <a14:compatExt spid="_x0000_s4521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69</xdr:row>
          <xdr:rowOff>0</xdr:rowOff>
        </xdr:from>
        <xdr:to>
          <xdr:col>1</xdr:col>
          <xdr:colOff>609600</xdr:colOff>
          <xdr:row>85</xdr:row>
          <xdr:rowOff>0</xdr:rowOff>
        </xdr:to>
        <xdr:grpSp>
          <xdr:nvGrpSpPr>
            <xdr:cNvPr id="5" name="Group 4"/>
            <xdr:cNvGrpSpPr/>
          </xdr:nvGrpSpPr>
          <xdr:grpSpPr>
            <a:xfrm>
              <a:off x="5048250" y="1781175"/>
              <a:ext cx="190500" cy="1781175"/>
              <a:chOff x="5048250" y="0"/>
              <a:chExt cx="190500" cy="1781175"/>
            </a:xfrm>
          </xdr:grpSpPr>
          <xdr:sp macro="" textlink="">
            <xdr:nvSpPr>
              <xdr:cNvPr id="45214" name="Check Box 158" hidden="1">
                <a:extLst>
                  <a:ext uri="{63B3BB69-23CF-44E3-9099-C40C66FF867C}">
                    <a14:compatExt spid="_x0000_s4521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5" name="Check Box 159" hidden="1">
                <a:extLst>
                  <a:ext uri="{63B3BB69-23CF-44E3-9099-C40C66FF867C}">
                    <a14:compatExt spid="_x0000_s4521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6" name="Check Box 160" hidden="1">
                <a:extLst>
                  <a:ext uri="{63B3BB69-23CF-44E3-9099-C40C66FF867C}">
                    <a14:compatExt spid="_x0000_s4521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7" name="Check Box 161" hidden="1">
                <a:extLst>
                  <a:ext uri="{63B3BB69-23CF-44E3-9099-C40C66FF867C}">
                    <a14:compatExt spid="_x0000_s4521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8" name="Check Box 162" hidden="1">
                <a:extLst>
                  <a:ext uri="{63B3BB69-23CF-44E3-9099-C40C66FF867C}">
                    <a14:compatExt spid="_x0000_s4521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9" name="Check Box 163" hidden="1">
                <a:extLst>
                  <a:ext uri="{63B3BB69-23CF-44E3-9099-C40C66FF867C}">
                    <a14:compatExt spid="_x0000_s4521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0" name="Check Box 164" hidden="1">
                <a:extLst>
                  <a:ext uri="{63B3BB69-23CF-44E3-9099-C40C66FF867C}">
                    <a14:compatExt spid="_x0000_s4522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1" name="Check Box 165" hidden="1">
                <a:extLst>
                  <a:ext uri="{63B3BB69-23CF-44E3-9099-C40C66FF867C}">
                    <a14:compatExt spid="_x0000_s4522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4" name="Check Box 168" hidden="1">
                <a:extLst>
                  <a:ext uri="{63B3BB69-23CF-44E3-9099-C40C66FF867C}">
                    <a14:compatExt spid="_x0000_s4522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5" name="Check Box 169" hidden="1">
                <a:extLst>
                  <a:ext uri="{63B3BB69-23CF-44E3-9099-C40C66FF867C}">
                    <a14:compatExt spid="_x0000_s4522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6" name="Check Box 170" hidden="1">
                <a:extLst>
                  <a:ext uri="{63B3BB69-23CF-44E3-9099-C40C66FF867C}">
                    <a14:compatExt spid="_x0000_s4522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7" name="Check Box 171" hidden="1">
                <a:extLst>
                  <a:ext uri="{63B3BB69-23CF-44E3-9099-C40C66FF867C}">
                    <a14:compatExt spid="_x0000_s4522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8" name="Check Box 172" hidden="1">
                <a:extLst>
                  <a:ext uri="{63B3BB69-23CF-44E3-9099-C40C66FF867C}">
                    <a14:compatExt spid="_x0000_s4522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9" name="Check Box 173" hidden="1">
                <a:extLst>
                  <a:ext uri="{63B3BB69-23CF-44E3-9099-C40C66FF867C}">
                    <a14:compatExt spid="_x0000_s4522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0" name="Check Box 174" hidden="1">
                <a:extLst>
                  <a:ext uri="{63B3BB69-23CF-44E3-9099-C40C66FF867C}">
                    <a14:compatExt spid="_x0000_s4523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94</xdr:row>
          <xdr:rowOff>0</xdr:rowOff>
        </xdr:from>
        <xdr:to>
          <xdr:col>1</xdr:col>
          <xdr:colOff>609600</xdr:colOff>
          <xdr:row>108</xdr:row>
          <xdr:rowOff>0</xdr:rowOff>
        </xdr:to>
        <xdr:grpSp>
          <xdr:nvGrpSpPr>
            <xdr:cNvPr id="6" name="Group 5"/>
            <xdr:cNvGrpSpPr/>
          </xdr:nvGrpSpPr>
          <xdr:grpSpPr>
            <a:xfrm>
              <a:off x="5048250" y="1781175"/>
              <a:ext cx="190500" cy="1781175"/>
              <a:chOff x="5048250" y="0"/>
              <a:chExt cx="190500" cy="1781175"/>
            </a:xfrm>
          </xdr:grpSpPr>
          <xdr:sp macro="" textlink="">
            <xdr:nvSpPr>
              <xdr:cNvPr id="45231" name="Check Box 175" hidden="1">
                <a:extLst>
                  <a:ext uri="{63B3BB69-23CF-44E3-9099-C40C66FF867C}">
                    <a14:compatExt spid="_x0000_s4523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2" name="Check Box 176" hidden="1">
                <a:extLst>
                  <a:ext uri="{63B3BB69-23CF-44E3-9099-C40C66FF867C}">
                    <a14:compatExt spid="_x0000_s4523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3" name="Check Box 177" hidden="1">
                <a:extLst>
                  <a:ext uri="{63B3BB69-23CF-44E3-9099-C40C66FF867C}">
                    <a14:compatExt spid="_x0000_s4523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4" name="Check Box 178" hidden="1">
                <a:extLst>
                  <a:ext uri="{63B3BB69-23CF-44E3-9099-C40C66FF867C}">
                    <a14:compatExt spid="_x0000_s4523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5" name="Check Box 179" hidden="1">
                <a:extLst>
                  <a:ext uri="{63B3BB69-23CF-44E3-9099-C40C66FF867C}">
                    <a14:compatExt spid="_x0000_s4523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6" name="Check Box 180" hidden="1">
                <a:extLst>
                  <a:ext uri="{63B3BB69-23CF-44E3-9099-C40C66FF867C}">
                    <a14:compatExt spid="_x0000_s4523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8" name="Check Box 182" hidden="1">
                <a:extLst>
                  <a:ext uri="{63B3BB69-23CF-44E3-9099-C40C66FF867C}">
                    <a14:compatExt spid="_x0000_s4523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9" name="Check Box 183" hidden="1">
                <a:extLst>
                  <a:ext uri="{63B3BB69-23CF-44E3-9099-C40C66FF867C}">
                    <a14:compatExt spid="_x0000_s4523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0" name="Check Box 184" hidden="1">
                <a:extLst>
                  <a:ext uri="{63B3BB69-23CF-44E3-9099-C40C66FF867C}">
                    <a14:compatExt spid="_x0000_s4524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1" name="Check Box 185" hidden="1">
                <a:extLst>
                  <a:ext uri="{63B3BB69-23CF-44E3-9099-C40C66FF867C}">
                    <a14:compatExt spid="_x0000_s4524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2" name="Check Box 186" hidden="1">
                <a:extLst>
                  <a:ext uri="{63B3BB69-23CF-44E3-9099-C40C66FF867C}">
                    <a14:compatExt spid="_x0000_s4524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3" name="Check Box 187" hidden="1">
                <a:extLst>
                  <a:ext uri="{63B3BB69-23CF-44E3-9099-C40C66FF867C}">
                    <a14:compatExt spid="_x0000_s4524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4" name="Check Box 188" hidden="1">
                <a:extLst>
                  <a:ext uri="{63B3BB69-23CF-44E3-9099-C40C66FF867C}">
                    <a14:compatExt spid="_x0000_s45244"/>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115</xdr:row>
          <xdr:rowOff>0</xdr:rowOff>
        </xdr:from>
        <xdr:to>
          <xdr:col>1</xdr:col>
          <xdr:colOff>609600</xdr:colOff>
          <xdr:row>128</xdr:row>
          <xdr:rowOff>0</xdr:rowOff>
        </xdr:to>
        <xdr:grpSp>
          <xdr:nvGrpSpPr>
            <xdr:cNvPr id="8" name="Group 7"/>
            <xdr:cNvGrpSpPr/>
          </xdr:nvGrpSpPr>
          <xdr:grpSpPr>
            <a:xfrm>
              <a:off x="5048250" y="1781175"/>
              <a:ext cx="190500" cy="1781175"/>
              <a:chOff x="5048250" y="0"/>
              <a:chExt cx="190500" cy="1781175"/>
            </a:xfrm>
          </xdr:grpSpPr>
          <xdr:sp macro="" textlink="">
            <xdr:nvSpPr>
              <xdr:cNvPr id="45245" name="Check Box 189" hidden="1">
                <a:extLst>
                  <a:ext uri="{63B3BB69-23CF-44E3-9099-C40C66FF867C}">
                    <a14:compatExt spid="_x0000_s4524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6" name="Check Box 190" hidden="1">
                <a:extLst>
                  <a:ext uri="{63B3BB69-23CF-44E3-9099-C40C66FF867C}">
                    <a14:compatExt spid="_x0000_s4524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7" name="Check Box 191" hidden="1">
                <a:extLst>
                  <a:ext uri="{63B3BB69-23CF-44E3-9099-C40C66FF867C}">
                    <a14:compatExt spid="_x0000_s4524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8" name="Check Box 192" hidden="1">
                <a:extLst>
                  <a:ext uri="{63B3BB69-23CF-44E3-9099-C40C66FF867C}">
                    <a14:compatExt spid="_x0000_s4524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9" name="Check Box 193" hidden="1">
                <a:extLst>
                  <a:ext uri="{63B3BB69-23CF-44E3-9099-C40C66FF867C}">
                    <a14:compatExt spid="_x0000_s4524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1" name="Check Box 195" hidden="1">
                <a:extLst>
                  <a:ext uri="{63B3BB69-23CF-44E3-9099-C40C66FF867C}">
                    <a14:compatExt spid="_x0000_s4525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2" name="Check Box 196" hidden="1">
                <a:extLst>
                  <a:ext uri="{63B3BB69-23CF-44E3-9099-C40C66FF867C}">
                    <a14:compatExt spid="_x0000_s4525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3" name="Check Box 197" hidden="1">
                <a:extLst>
                  <a:ext uri="{63B3BB69-23CF-44E3-9099-C40C66FF867C}">
                    <a14:compatExt spid="_x0000_s4525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4" name="Check Box 198" hidden="1">
                <a:extLst>
                  <a:ext uri="{63B3BB69-23CF-44E3-9099-C40C66FF867C}">
                    <a14:compatExt spid="_x0000_s4525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5" name="Check Box 199" hidden="1">
                <a:extLst>
                  <a:ext uri="{63B3BB69-23CF-44E3-9099-C40C66FF867C}">
                    <a14:compatExt spid="_x0000_s4525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6" name="Check Box 200" hidden="1">
                <a:extLst>
                  <a:ext uri="{63B3BB69-23CF-44E3-9099-C40C66FF867C}">
                    <a14:compatExt spid="_x0000_s4525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7" name="Check Box 201" hidden="1">
                <a:extLst>
                  <a:ext uri="{63B3BB69-23CF-44E3-9099-C40C66FF867C}">
                    <a14:compatExt spid="_x0000_s45257"/>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133</xdr:row>
          <xdr:rowOff>0</xdr:rowOff>
        </xdr:from>
        <xdr:to>
          <xdr:col>1</xdr:col>
          <xdr:colOff>609600</xdr:colOff>
          <xdr:row>133</xdr:row>
          <xdr:rowOff>203200</xdr:rowOff>
        </xdr:to>
        <xdr:sp macro="" textlink="">
          <xdr:nvSpPr>
            <xdr:cNvPr id="45258" name="Check Box 202" hidden="1">
              <a:extLst>
                <a:ext uri="{63B3BB69-23CF-44E3-9099-C40C66FF867C}">
                  <a14:compatExt spid="_x0000_s45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133</xdr:row>
          <xdr:rowOff>203200</xdr:rowOff>
        </xdr:from>
        <xdr:to>
          <xdr:col>1</xdr:col>
          <xdr:colOff>609600</xdr:colOff>
          <xdr:row>135</xdr:row>
          <xdr:rowOff>12700</xdr:rowOff>
        </xdr:to>
        <xdr:sp macro="" textlink="">
          <xdr:nvSpPr>
            <xdr:cNvPr id="45259" name="Check Box 203" hidden="1">
              <a:extLst>
                <a:ext uri="{63B3BB69-23CF-44E3-9099-C40C66FF867C}">
                  <a14:compatExt spid="_x0000_s45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135</xdr:row>
          <xdr:rowOff>0</xdr:rowOff>
        </xdr:from>
        <xdr:to>
          <xdr:col>1</xdr:col>
          <xdr:colOff>609600</xdr:colOff>
          <xdr:row>136</xdr:row>
          <xdr:rowOff>12700</xdr:rowOff>
        </xdr:to>
        <xdr:sp macro="" textlink="">
          <xdr:nvSpPr>
            <xdr:cNvPr id="45260" name="Check Box 204" hidden="1">
              <a:extLst>
                <a:ext uri="{63B3BB69-23CF-44E3-9099-C40C66FF867C}">
                  <a14:compatExt spid="_x0000_s45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140</xdr:row>
          <xdr:rowOff>0</xdr:rowOff>
        </xdr:from>
        <xdr:to>
          <xdr:col>1</xdr:col>
          <xdr:colOff>609600</xdr:colOff>
          <xdr:row>141</xdr:row>
          <xdr:rowOff>19050</xdr:rowOff>
        </xdr:to>
        <xdr:sp macro="" textlink="">
          <xdr:nvSpPr>
            <xdr:cNvPr id="45265" name="Check Box 209" hidden="1">
              <a:extLst>
                <a:ext uri="{63B3BB69-23CF-44E3-9099-C40C66FF867C}">
                  <a14:compatExt spid="_x0000_s45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141</xdr:row>
          <xdr:rowOff>12700</xdr:rowOff>
        </xdr:from>
        <xdr:to>
          <xdr:col>1</xdr:col>
          <xdr:colOff>609600</xdr:colOff>
          <xdr:row>142</xdr:row>
          <xdr:rowOff>0</xdr:rowOff>
        </xdr:to>
        <xdr:sp macro="" textlink="">
          <xdr:nvSpPr>
            <xdr:cNvPr id="45266" name="Check Box 210" hidden="1">
              <a:extLst>
                <a:ext uri="{63B3BB69-23CF-44E3-9099-C40C66FF867C}">
                  <a14:compatExt spid="_x0000_s45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147</xdr:row>
          <xdr:rowOff>0</xdr:rowOff>
        </xdr:from>
        <xdr:to>
          <xdr:col>1</xdr:col>
          <xdr:colOff>609600</xdr:colOff>
          <xdr:row>154</xdr:row>
          <xdr:rowOff>0</xdr:rowOff>
        </xdr:to>
        <xdr:grpSp>
          <xdr:nvGrpSpPr>
            <xdr:cNvPr id="10" name="Group 9"/>
            <xdr:cNvGrpSpPr/>
          </xdr:nvGrpSpPr>
          <xdr:grpSpPr>
            <a:xfrm>
              <a:off x="5048250" y="4686300"/>
              <a:ext cx="190500" cy="4686300"/>
              <a:chOff x="5048250" y="0"/>
              <a:chExt cx="190500" cy="4686300"/>
            </a:xfrm>
          </xdr:grpSpPr>
          <xdr:sp macro="" textlink="">
            <xdr:nvSpPr>
              <xdr:cNvPr id="45267" name="Check Box 211" hidden="1">
                <a:extLst>
                  <a:ext uri="{63B3BB69-23CF-44E3-9099-C40C66FF867C}">
                    <a14:compatExt spid="_x0000_s45267"/>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8" name="Check Box 212" hidden="1">
                <a:extLst>
                  <a:ext uri="{63B3BB69-23CF-44E3-9099-C40C66FF867C}">
                    <a14:compatExt spid="_x0000_s45268"/>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9" name="Check Box 213" hidden="1">
                <a:extLst>
                  <a:ext uri="{63B3BB69-23CF-44E3-9099-C40C66FF867C}">
                    <a14:compatExt spid="_x0000_s45269"/>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0" name="Check Box 214" hidden="1">
                <a:extLst>
                  <a:ext uri="{63B3BB69-23CF-44E3-9099-C40C66FF867C}">
                    <a14:compatExt spid="_x0000_s45270"/>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1" name="Check Box 215" hidden="1">
                <a:extLst>
                  <a:ext uri="{63B3BB69-23CF-44E3-9099-C40C66FF867C}">
                    <a14:compatExt spid="_x0000_s45271"/>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2" name="Check Box 216" hidden="1">
                <a:extLst>
                  <a:ext uri="{63B3BB69-23CF-44E3-9099-C40C66FF867C}">
                    <a14:compatExt spid="_x0000_s45272"/>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3" name="Check Box 217" hidden="1">
                <a:extLst>
                  <a:ext uri="{63B3BB69-23CF-44E3-9099-C40C66FF867C}">
                    <a14:compatExt spid="_x0000_s4527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160</xdr:row>
          <xdr:rowOff>0</xdr:rowOff>
        </xdr:from>
        <xdr:to>
          <xdr:col>1</xdr:col>
          <xdr:colOff>609600</xdr:colOff>
          <xdr:row>167</xdr:row>
          <xdr:rowOff>0</xdr:rowOff>
        </xdr:to>
        <xdr:grpSp>
          <xdr:nvGrpSpPr>
            <xdr:cNvPr id="11" name="Group 10"/>
            <xdr:cNvGrpSpPr/>
          </xdr:nvGrpSpPr>
          <xdr:grpSpPr>
            <a:xfrm>
              <a:off x="5048250" y="4686300"/>
              <a:ext cx="190500" cy="4686300"/>
              <a:chOff x="5048250" y="0"/>
              <a:chExt cx="190500" cy="4686300"/>
            </a:xfrm>
          </xdr:grpSpPr>
          <xdr:sp macro="" textlink="">
            <xdr:nvSpPr>
              <xdr:cNvPr id="45275" name="Check Box 219" hidden="1">
                <a:extLst>
                  <a:ext uri="{63B3BB69-23CF-44E3-9099-C40C66FF867C}">
                    <a14:compatExt spid="_x0000_s45275"/>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6" name="Check Box 220" hidden="1">
                <a:extLst>
                  <a:ext uri="{63B3BB69-23CF-44E3-9099-C40C66FF867C}">
                    <a14:compatExt spid="_x0000_s45276"/>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7" name="Check Box 221" hidden="1">
                <a:extLst>
                  <a:ext uri="{63B3BB69-23CF-44E3-9099-C40C66FF867C}">
                    <a14:compatExt spid="_x0000_s45277"/>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8" name="Check Box 222" hidden="1">
                <a:extLst>
                  <a:ext uri="{63B3BB69-23CF-44E3-9099-C40C66FF867C}">
                    <a14:compatExt spid="_x0000_s45278"/>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9" name="Check Box 223" hidden="1">
                <a:extLst>
                  <a:ext uri="{63B3BB69-23CF-44E3-9099-C40C66FF867C}">
                    <a14:compatExt spid="_x0000_s45279"/>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0" name="Check Box 224" hidden="1">
                <a:extLst>
                  <a:ext uri="{63B3BB69-23CF-44E3-9099-C40C66FF867C}">
                    <a14:compatExt spid="_x0000_s45280"/>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1" name="Check Box 225" hidden="1">
                <a:extLst>
                  <a:ext uri="{63B3BB69-23CF-44E3-9099-C40C66FF867C}">
                    <a14:compatExt spid="_x0000_s45281"/>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173</xdr:row>
          <xdr:rowOff>0</xdr:rowOff>
        </xdr:from>
        <xdr:to>
          <xdr:col>1</xdr:col>
          <xdr:colOff>609600</xdr:colOff>
          <xdr:row>180</xdr:row>
          <xdr:rowOff>0</xdr:rowOff>
        </xdr:to>
        <xdr:grpSp>
          <xdr:nvGrpSpPr>
            <xdr:cNvPr id="12" name="Group 11"/>
            <xdr:cNvGrpSpPr/>
          </xdr:nvGrpSpPr>
          <xdr:grpSpPr>
            <a:xfrm>
              <a:off x="5048250" y="4686300"/>
              <a:ext cx="190500" cy="4686300"/>
              <a:chOff x="5048250" y="0"/>
              <a:chExt cx="190500" cy="4686300"/>
            </a:xfrm>
          </xdr:grpSpPr>
          <xdr:sp macro="" textlink="">
            <xdr:nvSpPr>
              <xdr:cNvPr id="45282" name="Check Box 226" hidden="1">
                <a:extLst>
                  <a:ext uri="{63B3BB69-23CF-44E3-9099-C40C66FF867C}">
                    <a14:compatExt spid="_x0000_s45282"/>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3" name="Check Box 227" hidden="1">
                <a:extLst>
                  <a:ext uri="{63B3BB69-23CF-44E3-9099-C40C66FF867C}">
                    <a14:compatExt spid="_x0000_s45283"/>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4" name="Check Box 228" hidden="1">
                <a:extLst>
                  <a:ext uri="{63B3BB69-23CF-44E3-9099-C40C66FF867C}">
                    <a14:compatExt spid="_x0000_s45284"/>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5" name="Check Box 229" hidden="1">
                <a:extLst>
                  <a:ext uri="{63B3BB69-23CF-44E3-9099-C40C66FF867C}">
                    <a14:compatExt spid="_x0000_s45285"/>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6" name="Check Box 230" hidden="1">
                <a:extLst>
                  <a:ext uri="{63B3BB69-23CF-44E3-9099-C40C66FF867C}">
                    <a14:compatExt spid="_x0000_s45286"/>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7" name="Check Box 231" hidden="1">
                <a:extLst>
                  <a:ext uri="{63B3BB69-23CF-44E3-9099-C40C66FF867C}">
                    <a14:compatExt spid="_x0000_s45287"/>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8" name="Check Box 232" hidden="1">
                <a:extLst>
                  <a:ext uri="{63B3BB69-23CF-44E3-9099-C40C66FF867C}">
                    <a14:compatExt spid="_x0000_s45288"/>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186</xdr:row>
          <xdr:rowOff>0</xdr:rowOff>
        </xdr:from>
        <xdr:to>
          <xdr:col>1</xdr:col>
          <xdr:colOff>609600</xdr:colOff>
          <xdr:row>193</xdr:row>
          <xdr:rowOff>0</xdr:rowOff>
        </xdr:to>
        <xdr:grpSp>
          <xdr:nvGrpSpPr>
            <xdr:cNvPr id="13" name="Group 12"/>
            <xdr:cNvGrpSpPr/>
          </xdr:nvGrpSpPr>
          <xdr:grpSpPr>
            <a:xfrm>
              <a:off x="5048250" y="4686300"/>
              <a:ext cx="190500" cy="4686300"/>
              <a:chOff x="5048250" y="0"/>
              <a:chExt cx="190500" cy="4686300"/>
            </a:xfrm>
          </xdr:grpSpPr>
          <xdr:sp macro="" textlink="">
            <xdr:nvSpPr>
              <xdr:cNvPr id="45289" name="Check Box 233" hidden="1">
                <a:extLst>
                  <a:ext uri="{63B3BB69-23CF-44E3-9099-C40C66FF867C}">
                    <a14:compatExt spid="_x0000_s45289"/>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0" name="Check Box 234" hidden="1">
                <a:extLst>
                  <a:ext uri="{63B3BB69-23CF-44E3-9099-C40C66FF867C}">
                    <a14:compatExt spid="_x0000_s45290"/>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1" name="Check Box 235" hidden="1">
                <a:extLst>
                  <a:ext uri="{63B3BB69-23CF-44E3-9099-C40C66FF867C}">
                    <a14:compatExt spid="_x0000_s45291"/>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2" name="Check Box 236" hidden="1">
                <a:extLst>
                  <a:ext uri="{63B3BB69-23CF-44E3-9099-C40C66FF867C}">
                    <a14:compatExt spid="_x0000_s45292"/>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3" name="Check Box 237" hidden="1">
                <a:extLst>
                  <a:ext uri="{63B3BB69-23CF-44E3-9099-C40C66FF867C}">
                    <a14:compatExt spid="_x0000_s45293"/>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4" name="Check Box 238" hidden="1">
                <a:extLst>
                  <a:ext uri="{63B3BB69-23CF-44E3-9099-C40C66FF867C}">
                    <a14:compatExt spid="_x0000_s45294"/>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5" name="Check Box 239" hidden="1">
                <a:extLst>
                  <a:ext uri="{63B3BB69-23CF-44E3-9099-C40C66FF867C}">
                    <a14:compatExt spid="_x0000_s45295"/>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9</xdr:row>
          <xdr:rowOff>190500</xdr:rowOff>
        </xdr:from>
        <xdr:to>
          <xdr:col>2</xdr:col>
          <xdr:colOff>914400</xdr:colOff>
          <xdr:row>9</xdr:row>
          <xdr:rowOff>412750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6</xdr:row>
          <xdr:rowOff>190500</xdr:rowOff>
        </xdr:from>
        <xdr:to>
          <xdr:col>2</xdr:col>
          <xdr:colOff>914400</xdr:colOff>
          <xdr:row>6</xdr:row>
          <xdr:rowOff>552450</xdr:rowOff>
        </xdr:to>
        <xdr:sp macro="" textlink="">
          <xdr:nvSpPr>
            <xdr:cNvPr id="24586" name="Check Box 10" hidden="1">
              <a:extLst>
                <a:ext uri="{63B3BB69-23CF-44E3-9099-C40C66FF867C}">
                  <a14:compatExt spid="_x0000_s24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8</xdr:row>
          <xdr:rowOff>95250</xdr:rowOff>
        </xdr:from>
        <xdr:to>
          <xdr:col>2</xdr:col>
          <xdr:colOff>933450</xdr:colOff>
          <xdr:row>8</xdr:row>
          <xdr:rowOff>457200</xdr:rowOff>
        </xdr:to>
        <xdr:sp macro="" textlink="">
          <xdr:nvSpPr>
            <xdr:cNvPr id="24591" name="Check Box 15" hidden="1">
              <a:extLst>
                <a:ext uri="{63B3BB69-23CF-44E3-9099-C40C66FF867C}">
                  <a14:compatExt spid="_x0000_s24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419100</xdr:colOff>
          <xdr:row>7</xdr:row>
          <xdr:rowOff>0</xdr:rowOff>
        </xdr:from>
        <xdr:to>
          <xdr:col>2</xdr:col>
          <xdr:colOff>609600</xdr:colOff>
          <xdr:row>9</xdr:row>
          <xdr:rowOff>209550</xdr:rowOff>
        </xdr:to>
        <xdr:grpSp>
          <xdr:nvGrpSpPr>
            <xdr:cNvPr id="2" name="Group 1"/>
            <xdr:cNvGrpSpPr/>
          </xdr:nvGrpSpPr>
          <xdr:grpSpPr>
            <a:xfrm>
              <a:off x="5619750" y="2019301"/>
              <a:ext cx="190500" cy="1670050"/>
              <a:chOff x="5381625" y="8782051"/>
              <a:chExt cx="190500" cy="1676400"/>
            </a:xfrm>
          </xdr:grpSpPr>
          <xdr:sp macro="" textlink="">
            <xdr:nvSpPr>
              <xdr:cNvPr id="25683" name="Check Box 83" hidden="1">
                <a:extLst>
                  <a:ext uri="{63B3BB69-23CF-44E3-9099-C40C66FF867C}">
                    <a14:compatExt spid="_x0000_s25683"/>
                  </a:ext>
                </a:extLst>
              </xdr:cNvPr>
              <xdr:cNvSpPr/>
            </xdr:nvSpPr>
            <xdr:spPr bwMode="auto">
              <a:xfrm>
                <a:off x="5381625" y="8782051"/>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01"/>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4"/>
              <a:ext cx="304800" cy="1108071"/>
              <a:chOff x="5838825" y="2686051"/>
              <a:chExt cx="304800" cy="1114422"/>
            </a:xfrm>
          </xdr:grpSpPr>
          <xdr:sp macro="" textlink="">
            <xdr:nvSpPr>
              <xdr:cNvPr id="26625" name="Check Box 1" hidden="1">
                <a:extLst>
                  <a:ext uri="{63B3BB69-23CF-44E3-9099-C40C66FF867C}">
                    <a14:compatExt spid="_x0000_s26625"/>
                  </a:ext>
                </a:extLst>
              </xdr:cNvPr>
              <xdr:cNvSpPr/>
            </xdr:nvSpPr>
            <xdr:spPr bwMode="auto">
              <a:xfrm>
                <a:off x="5857875" y="2686051"/>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398"/>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63</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64</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42</xdr:row>
          <xdr:rowOff>69850</xdr:rowOff>
        </xdr:from>
        <xdr:to>
          <xdr:col>3</xdr:col>
          <xdr:colOff>666750</xdr:colOff>
          <xdr:row>42</xdr:row>
          <xdr:rowOff>279400</xdr:rowOff>
        </xdr:to>
        <xdr:sp macro="" textlink="">
          <xdr:nvSpPr>
            <xdr:cNvPr id="35937" name="Check Box 97" hidden="1">
              <a:extLst>
                <a:ext uri="{63B3BB69-23CF-44E3-9099-C40C66FF867C}">
                  <a14:compatExt spid="_x0000_s35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26</xdr:row>
          <xdr:rowOff>0</xdr:rowOff>
        </xdr:from>
        <xdr:to>
          <xdr:col>3</xdr:col>
          <xdr:colOff>714375</xdr:colOff>
          <xdr:row>41</xdr:row>
          <xdr:rowOff>323850</xdr:rowOff>
        </xdr:to>
        <xdr:grpSp>
          <xdr:nvGrpSpPr>
            <xdr:cNvPr id="5" name="Group 4"/>
            <xdr:cNvGrpSpPr/>
          </xdr:nvGrpSpPr>
          <xdr:grpSpPr>
            <a:xfrm>
              <a:off x="5543550" y="9740895"/>
              <a:ext cx="295275" cy="3327403"/>
              <a:chOff x="5314950" y="12144374"/>
              <a:chExt cx="295275" cy="3371854"/>
            </a:xfrm>
          </xdr:grpSpPr>
          <xdr:sp macro="" textlink="">
            <xdr:nvSpPr>
              <xdr:cNvPr id="35905" name="Check Box 65" hidden="1">
                <a:extLst>
                  <a:ext uri="{63B3BB69-23CF-44E3-9099-C40C66FF867C}">
                    <a14:compatExt spid="_x0000_s35905"/>
                  </a:ext>
                </a:extLst>
              </xdr:cNvPr>
              <xdr:cNvSpPr/>
            </xdr:nvSpPr>
            <xdr:spPr bwMode="auto">
              <a:xfrm>
                <a:off x="5353050" y="15316203"/>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74"/>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20</xdr:row>
          <xdr:rowOff>69850</xdr:rowOff>
        </xdr:from>
        <xdr:to>
          <xdr:col>3</xdr:col>
          <xdr:colOff>704850</xdr:colOff>
          <xdr:row>20</xdr:row>
          <xdr:rowOff>285750</xdr:rowOff>
        </xdr:to>
        <xdr:sp macro="" textlink="">
          <xdr:nvSpPr>
            <xdr:cNvPr id="35944" name="Check Box 104" hidden="1">
              <a:extLst>
                <a:ext uri="{63B3BB69-23CF-44E3-9099-C40C66FF867C}">
                  <a14:compatExt spid="_x0000_s359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25</xdr:row>
          <xdr:rowOff>0</xdr:rowOff>
        </xdr:from>
        <xdr:to>
          <xdr:col>3</xdr:col>
          <xdr:colOff>609600</xdr:colOff>
          <xdr:row>26</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26</xdr:row>
          <xdr:rowOff>0</xdr:rowOff>
        </xdr:from>
        <xdr:to>
          <xdr:col>3</xdr:col>
          <xdr:colOff>609600</xdr:colOff>
          <xdr:row>27</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27</xdr:row>
          <xdr:rowOff>0</xdr:rowOff>
        </xdr:from>
        <xdr:to>
          <xdr:col>3</xdr:col>
          <xdr:colOff>609600</xdr:colOff>
          <xdr:row>28</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21</xdr:row>
          <xdr:rowOff>0</xdr:rowOff>
        </xdr:from>
        <xdr:to>
          <xdr:col>2</xdr:col>
          <xdr:colOff>609600</xdr:colOff>
          <xdr:row>22</xdr:row>
          <xdr:rowOff>209550</xdr:rowOff>
        </xdr:to>
        <xdr:grpSp>
          <xdr:nvGrpSpPr>
            <xdr:cNvPr id="2" name="Group 1"/>
            <xdr:cNvGrpSpPr/>
          </xdr:nvGrpSpPr>
          <xdr:grpSpPr>
            <a:xfrm>
              <a:off x="5664200" y="13868400"/>
              <a:ext cx="190500" cy="533400"/>
              <a:chOff x="5429250" y="13916025"/>
              <a:chExt cx="190500" cy="533400"/>
            </a:xfrm>
          </xdr:grpSpPr>
          <xdr:sp macro="" textlink="">
            <xdr:nvSpPr>
              <xdr:cNvPr id="55310" name="Check Box 14" hidden="1">
                <a:extLst>
                  <a:ext uri="{63B3BB69-23CF-44E3-9099-C40C66FF867C}">
                    <a14:compatExt spid="_x0000_s55310"/>
                  </a:ext>
                </a:extLst>
              </xdr:cNvPr>
              <xdr:cNvSpPr/>
            </xdr:nvSpPr>
            <xdr:spPr bwMode="auto">
              <a:xfrm>
                <a:off x="5429250" y="13916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1" name="Check Box 15" hidden="1">
                <a:extLst>
                  <a:ext uri="{63B3BB69-23CF-44E3-9099-C40C66FF867C}">
                    <a14:compatExt spid="_x0000_s55311"/>
                  </a:ext>
                </a:extLst>
              </xdr:cNvPr>
              <xdr:cNvSpPr/>
            </xdr:nvSpPr>
            <xdr:spPr bwMode="auto">
              <a:xfrm>
                <a:off x="5429250" y="14239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16.xml"/><Relationship Id="rId21" Type="http://schemas.openxmlformats.org/officeDocument/2006/relationships/ctrlProp" Target="../ctrlProps/ctrlProp211.xml"/><Relationship Id="rId42" Type="http://schemas.openxmlformats.org/officeDocument/2006/relationships/ctrlProp" Target="../ctrlProps/ctrlProp232.xml"/><Relationship Id="rId47" Type="http://schemas.openxmlformats.org/officeDocument/2006/relationships/ctrlProp" Target="../ctrlProps/ctrlProp237.xml"/><Relationship Id="rId63" Type="http://schemas.openxmlformats.org/officeDocument/2006/relationships/ctrlProp" Target="../ctrlProps/ctrlProp253.xml"/><Relationship Id="rId68" Type="http://schemas.openxmlformats.org/officeDocument/2006/relationships/ctrlProp" Target="../ctrlProps/ctrlProp258.xml"/><Relationship Id="rId84" Type="http://schemas.openxmlformats.org/officeDocument/2006/relationships/ctrlProp" Target="../ctrlProps/ctrlProp274.xml"/><Relationship Id="rId89" Type="http://schemas.openxmlformats.org/officeDocument/2006/relationships/ctrlProp" Target="../ctrlProps/ctrlProp279.xml"/><Relationship Id="rId7" Type="http://schemas.openxmlformats.org/officeDocument/2006/relationships/ctrlProp" Target="../ctrlProps/ctrlProp197.xml"/><Relationship Id="rId71" Type="http://schemas.openxmlformats.org/officeDocument/2006/relationships/ctrlProp" Target="../ctrlProps/ctrlProp261.xml"/><Relationship Id="rId92" Type="http://schemas.openxmlformats.org/officeDocument/2006/relationships/ctrlProp" Target="../ctrlProps/ctrlProp282.xml"/><Relationship Id="rId2" Type="http://schemas.openxmlformats.org/officeDocument/2006/relationships/drawing" Target="../drawings/drawing8.xml"/><Relationship Id="rId16" Type="http://schemas.openxmlformats.org/officeDocument/2006/relationships/ctrlProp" Target="../ctrlProps/ctrlProp206.xml"/><Relationship Id="rId29" Type="http://schemas.openxmlformats.org/officeDocument/2006/relationships/ctrlProp" Target="../ctrlProps/ctrlProp219.xml"/><Relationship Id="rId11" Type="http://schemas.openxmlformats.org/officeDocument/2006/relationships/ctrlProp" Target="../ctrlProps/ctrlProp201.xml"/><Relationship Id="rId24" Type="http://schemas.openxmlformats.org/officeDocument/2006/relationships/ctrlProp" Target="../ctrlProps/ctrlProp214.xml"/><Relationship Id="rId32" Type="http://schemas.openxmlformats.org/officeDocument/2006/relationships/ctrlProp" Target="../ctrlProps/ctrlProp222.xml"/><Relationship Id="rId37" Type="http://schemas.openxmlformats.org/officeDocument/2006/relationships/ctrlProp" Target="../ctrlProps/ctrlProp227.xml"/><Relationship Id="rId40" Type="http://schemas.openxmlformats.org/officeDocument/2006/relationships/ctrlProp" Target="../ctrlProps/ctrlProp230.xml"/><Relationship Id="rId45" Type="http://schemas.openxmlformats.org/officeDocument/2006/relationships/ctrlProp" Target="../ctrlProps/ctrlProp235.xml"/><Relationship Id="rId53" Type="http://schemas.openxmlformats.org/officeDocument/2006/relationships/ctrlProp" Target="../ctrlProps/ctrlProp243.xml"/><Relationship Id="rId58" Type="http://schemas.openxmlformats.org/officeDocument/2006/relationships/ctrlProp" Target="../ctrlProps/ctrlProp248.xml"/><Relationship Id="rId66" Type="http://schemas.openxmlformats.org/officeDocument/2006/relationships/ctrlProp" Target="../ctrlProps/ctrlProp256.xml"/><Relationship Id="rId74" Type="http://schemas.openxmlformats.org/officeDocument/2006/relationships/ctrlProp" Target="../ctrlProps/ctrlProp264.xml"/><Relationship Id="rId79" Type="http://schemas.openxmlformats.org/officeDocument/2006/relationships/ctrlProp" Target="../ctrlProps/ctrlProp269.xml"/><Relationship Id="rId87" Type="http://schemas.openxmlformats.org/officeDocument/2006/relationships/ctrlProp" Target="../ctrlProps/ctrlProp277.xml"/><Relationship Id="rId102" Type="http://schemas.openxmlformats.org/officeDocument/2006/relationships/ctrlProp" Target="../ctrlProps/ctrlProp292.xml"/><Relationship Id="rId5" Type="http://schemas.openxmlformats.org/officeDocument/2006/relationships/ctrlProp" Target="../ctrlProps/ctrlProp195.xml"/><Relationship Id="rId61" Type="http://schemas.openxmlformats.org/officeDocument/2006/relationships/ctrlProp" Target="../ctrlProps/ctrlProp251.xml"/><Relationship Id="rId82" Type="http://schemas.openxmlformats.org/officeDocument/2006/relationships/ctrlProp" Target="../ctrlProps/ctrlProp272.xml"/><Relationship Id="rId90" Type="http://schemas.openxmlformats.org/officeDocument/2006/relationships/ctrlProp" Target="../ctrlProps/ctrlProp280.xml"/><Relationship Id="rId95" Type="http://schemas.openxmlformats.org/officeDocument/2006/relationships/ctrlProp" Target="../ctrlProps/ctrlProp285.xml"/><Relationship Id="rId19" Type="http://schemas.openxmlformats.org/officeDocument/2006/relationships/ctrlProp" Target="../ctrlProps/ctrlProp209.xml"/><Relationship Id="rId14" Type="http://schemas.openxmlformats.org/officeDocument/2006/relationships/ctrlProp" Target="../ctrlProps/ctrlProp204.xml"/><Relationship Id="rId22" Type="http://schemas.openxmlformats.org/officeDocument/2006/relationships/ctrlProp" Target="../ctrlProps/ctrlProp212.xml"/><Relationship Id="rId27" Type="http://schemas.openxmlformats.org/officeDocument/2006/relationships/ctrlProp" Target="../ctrlProps/ctrlProp217.xml"/><Relationship Id="rId30" Type="http://schemas.openxmlformats.org/officeDocument/2006/relationships/ctrlProp" Target="../ctrlProps/ctrlProp220.xml"/><Relationship Id="rId35" Type="http://schemas.openxmlformats.org/officeDocument/2006/relationships/ctrlProp" Target="../ctrlProps/ctrlProp225.xml"/><Relationship Id="rId43" Type="http://schemas.openxmlformats.org/officeDocument/2006/relationships/ctrlProp" Target="../ctrlProps/ctrlProp233.xml"/><Relationship Id="rId48" Type="http://schemas.openxmlformats.org/officeDocument/2006/relationships/ctrlProp" Target="../ctrlProps/ctrlProp238.xml"/><Relationship Id="rId56" Type="http://schemas.openxmlformats.org/officeDocument/2006/relationships/ctrlProp" Target="../ctrlProps/ctrlProp246.xml"/><Relationship Id="rId64" Type="http://schemas.openxmlformats.org/officeDocument/2006/relationships/ctrlProp" Target="../ctrlProps/ctrlProp254.xml"/><Relationship Id="rId69" Type="http://schemas.openxmlformats.org/officeDocument/2006/relationships/ctrlProp" Target="../ctrlProps/ctrlProp259.xml"/><Relationship Id="rId77" Type="http://schemas.openxmlformats.org/officeDocument/2006/relationships/ctrlProp" Target="../ctrlProps/ctrlProp267.xml"/><Relationship Id="rId100" Type="http://schemas.openxmlformats.org/officeDocument/2006/relationships/ctrlProp" Target="../ctrlProps/ctrlProp290.xml"/><Relationship Id="rId105" Type="http://schemas.openxmlformats.org/officeDocument/2006/relationships/ctrlProp" Target="../ctrlProps/ctrlProp295.xml"/><Relationship Id="rId8" Type="http://schemas.openxmlformats.org/officeDocument/2006/relationships/ctrlProp" Target="../ctrlProps/ctrlProp198.xml"/><Relationship Id="rId51" Type="http://schemas.openxmlformats.org/officeDocument/2006/relationships/ctrlProp" Target="../ctrlProps/ctrlProp241.xml"/><Relationship Id="rId72" Type="http://schemas.openxmlformats.org/officeDocument/2006/relationships/ctrlProp" Target="../ctrlProps/ctrlProp262.xml"/><Relationship Id="rId80" Type="http://schemas.openxmlformats.org/officeDocument/2006/relationships/ctrlProp" Target="../ctrlProps/ctrlProp270.xml"/><Relationship Id="rId85" Type="http://schemas.openxmlformats.org/officeDocument/2006/relationships/ctrlProp" Target="../ctrlProps/ctrlProp275.xml"/><Relationship Id="rId93" Type="http://schemas.openxmlformats.org/officeDocument/2006/relationships/ctrlProp" Target="../ctrlProps/ctrlProp283.xml"/><Relationship Id="rId98" Type="http://schemas.openxmlformats.org/officeDocument/2006/relationships/ctrlProp" Target="../ctrlProps/ctrlProp288.xml"/><Relationship Id="rId3" Type="http://schemas.openxmlformats.org/officeDocument/2006/relationships/vmlDrawing" Target="../drawings/vmlDrawing7.vml"/><Relationship Id="rId12" Type="http://schemas.openxmlformats.org/officeDocument/2006/relationships/ctrlProp" Target="../ctrlProps/ctrlProp202.xml"/><Relationship Id="rId17" Type="http://schemas.openxmlformats.org/officeDocument/2006/relationships/ctrlProp" Target="../ctrlProps/ctrlProp207.xml"/><Relationship Id="rId25" Type="http://schemas.openxmlformats.org/officeDocument/2006/relationships/ctrlProp" Target="../ctrlProps/ctrlProp215.xml"/><Relationship Id="rId33" Type="http://schemas.openxmlformats.org/officeDocument/2006/relationships/ctrlProp" Target="../ctrlProps/ctrlProp223.xml"/><Relationship Id="rId38" Type="http://schemas.openxmlformats.org/officeDocument/2006/relationships/ctrlProp" Target="../ctrlProps/ctrlProp228.xml"/><Relationship Id="rId46" Type="http://schemas.openxmlformats.org/officeDocument/2006/relationships/ctrlProp" Target="../ctrlProps/ctrlProp236.xml"/><Relationship Id="rId59" Type="http://schemas.openxmlformats.org/officeDocument/2006/relationships/ctrlProp" Target="../ctrlProps/ctrlProp249.xml"/><Relationship Id="rId67" Type="http://schemas.openxmlformats.org/officeDocument/2006/relationships/ctrlProp" Target="../ctrlProps/ctrlProp257.xml"/><Relationship Id="rId103" Type="http://schemas.openxmlformats.org/officeDocument/2006/relationships/ctrlProp" Target="../ctrlProps/ctrlProp293.xml"/><Relationship Id="rId20" Type="http://schemas.openxmlformats.org/officeDocument/2006/relationships/ctrlProp" Target="../ctrlProps/ctrlProp210.xml"/><Relationship Id="rId41" Type="http://schemas.openxmlformats.org/officeDocument/2006/relationships/ctrlProp" Target="../ctrlProps/ctrlProp231.xml"/><Relationship Id="rId54" Type="http://schemas.openxmlformats.org/officeDocument/2006/relationships/ctrlProp" Target="../ctrlProps/ctrlProp244.xml"/><Relationship Id="rId62" Type="http://schemas.openxmlformats.org/officeDocument/2006/relationships/ctrlProp" Target="../ctrlProps/ctrlProp252.xml"/><Relationship Id="rId70" Type="http://schemas.openxmlformats.org/officeDocument/2006/relationships/ctrlProp" Target="../ctrlProps/ctrlProp260.xml"/><Relationship Id="rId75" Type="http://schemas.openxmlformats.org/officeDocument/2006/relationships/ctrlProp" Target="../ctrlProps/ctrlProp265.xml"/><Relationship Id="rId83" Type="http://schemas.openxmlformats.org/officeDocument/2006/relationships/ctrlProp" Target="../ctrlProps/ctrlProp273.xml"/><Relationship Id="rId88" Type="http://schemas.openxmlformats.org/officeDocument/2006/relationships/ctrlProp" Target="../ctrlProps/ctrlProp278.xml"/><Relationship Id="rId91" Type="http://schemas.openxmlformats.org/officeDocument/2006/relationships/ctrlProp" Target="../ctrlProps/ctrlProp281.xml"/><Relationship Id="rId96" Type="http://schemas.openxmlformats.org/officeDocument/2006/relationships/ctrlProp" Target="../ctrlProps/ctrlProp286.xml"/><Relationship Id="rId1" Type="http://schemas.openxmlformats.org/officeDocument/2006/relationships/printerSettings" Target="../printerSettings/printerSettings10.bin"/><Relationship Id="rId6" Type="http://schemas.openxmlformats.org/officeDocument/2006/relationships/ctrlProp" Target="../ctrlProps/ctrlProp196.xml"/><Relationship Id="rId15" Type="http://schemas.openxmlformats.org/officeDocument/2006/relationships/ctrlProp" Target="../ctrlProps/ctrlProp205.xml"/><Relationship Id="rId23" Type="http://schemas.openxmlformats.org/officeDocument/2006/relationships/ctrlProp" Target="../ctrlProps/ctrlProp213.xml"/><Relationship Id="rId28" Type="http://schemas.openxmlformats.org/officeDocument/2006/relationships/ctrlProp" Target="../ctrlProps/ctrlProp218.xml"/><Relationship Id="rId36" Type="http://schemas.openxmlformats.org/officeDocument/2006/relationships/ctrlProp" Target="../ctrlProps/ctrlProp226.xml"/><Relationship Id="rId49" Type="http://schemas.openxmlformats.org/officeDocument/2006/relationships/ctrlProp" Target="../ctrlProps/ctrlProp239.xml"/><Relationship Id="rId57" Type="http://schemas.openxmlformats.org/officeDocument/2006/relationships/ctrlProp" Target="../ctrlProps/ctrlProp247.xml"/><Relationship Id="rId10" Type="http://schemas.openxmlformats.org/officeDocument/2006/relationships/ctrlProp" Target="../ctrlProps/ctrlProp200.xml"/><Relationship Id="rId31" Type="http://schemas.openxmlformats.org/officeDocument/2006/relationships/ctrlProp" Target="../ctrlProps/ctrlProp221.xml"/><Relationship Id="rId44" Type="http://schemas.openxmlformats.org/officeDocument/2006/relationships/ctrlProp" Target="../ctrlProps/ctrlProp234.xml"/><Relationship Id="rId52" Type="http://schemas.openxmlformats.org/officeDocument/2006/relationships/ctrlProp" Target="../ctrlProps/ctrlProp242.xml"/><Relationship Id="rId60" Type="http://schemas.openxmlformats.org/officeDocument/2006/relationships/ctrlProp" Target="../ctrlProps/ctrlProp250.xml"/><Relationship Id="rId65" Type="http://schemas.openxmlformats.org/officeDocument/2006/relationships/ctrlProp" Target="../ctrlProps/ctrlProp255.xml"/><Relationship Id="rId73" Type="http://schemas.openxmlformats.org/officeDocument/2006/relationships/ctrlProp" Target="../ctrlProps/ctrlProp263.xml"/><Relationship Id="rId78" Type="http://schemas.openxmlformats.org/officeDocument/2006/relationships/ctrlProp" Target="../ctrlProps/ctrlProp268.xml"/><Relationship Id="rId81" Type="http://schemas.openxmlformats.org/officeDocument/2006/relationships/ctrlProp" Target="../ctrlProps/ctrlProp271.xml"/><Relationship Id="rId86" Type="http://schemas.openxmlformats.org/officeDocument/2006/relationships/ctrlProp" Target="../ctrlProps/ctrlProp276.xml"/><Relationship Id="rId94" Type="http://schemas.openxmlformats.org/officeDocument/2006/relationships/ctrlProp" Target="../ctrlProps/ctrlProp284.xml"/><Relationship Id="rId99" Type="http://schemas.openxmlformats.org/officeDocument/2006/relationships/ctrlProp" Target="../ctrlProps/ctrlProp289.xml"/><Relationship Id="rId101" Type="http://schemas.openxmlformats.org/officeDocument/2006/relationships/ctrlProp" Target="../ctrlProps/ctrlProp291.xml"/><Relationship Id="rId4" Type="http://schemas.openxmlformats.org/officeDocument/2006/relationships/ctrlProp" Target="../ctrlProps/ctrlProp194.xml"/><Relationship Id="rId9" Type="http://schemas.openxmlformats.org/officeDocument/2006/relationships/ctrlProp" Target="../ctrlProps/ctrlProp199.xml"/><Relationship Id="rId13" Type="http://schemas.openxmlformats.org/officeDocument/2006/relationships/ctrlProp" Target="../ctrlProps/ctrlProp203.xml"/><Relationship Id="rId18" Type="http://schemas.openxmlformats.org/officeDocument/2006/relationships/ctrlProp" Target="../ctrlProps/ctrlProp208.xml"/><Relationship Id="rId39" Type="http://schemas.openxmlformats.org/officeDocument/2006/relationships/ctrlProp" Target="../ctrlProps/ctrlProp229.xml"/><Relationship Id="rId34" Type="http://schemas.openxmlformats.org/officeDocument/2006/relationships/ctrlProp" Target="../ctrlProps/ctrlProp224.xml"/><Relationship Id="rId50" Type="http://schemas.openxmlformats.org/officeDocument/2006/relationships/ctrlProp" Target="../ctrlProps/ctrlProp240.xml"/><Relationship Id="rId55" Type="http://schemas.openxmlformats.org/officeDocument/2006/relationships/ctrlProp" Target="../ctrlProps/ctrlProp245.xml"/><Relationship Id="rId76" Type="http://schemas.openxmlformats.org/officeDocument/2006/relationships/ctrlProp" Target="../ctrlProps/ctrlProp266.xml"/><Relationship Id="rId97" Type="http://schemas.openxmlformats.org/officeDocument/2006/relationships/ctrlProp" Target="../ctrlProps/ctrlProp287.xml"/><Relationship Id="rId104" Type="http://schemas.openxmlformats.org/officeDocument/2006/relationships/ctrlProp" Target="../ctrlProps/ctrlProp29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00.xml"/><Relationship Id="rId3" Type="http://schemas.openxmlformats.org/officeDocument/2006/relationships/vmlDrawing" Target="../drawings/vmlDrawing8.vml"/><Relationship Id="rId7" Type="http://schemas.openxmlformats.org/officeDocument/2006/relationships/ctrlProp" Target="../ctrlProps/ctrlProp299.xml"/><Relationship Id="rId12" Type="http://schemas.openxmlformats.org/officeDocument/2006/relationships/ctrlProp" Target="../ctrlProps/ctrlProp304.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298.xml"/><Relationship Id="rId11" Type="http://schemas.openxmlformats.org/officeDocument/2006/relationships/ctrlProp" Target="../ctrlProps/ctrlProp303.xml"/><Relationship Id="rId5" Type="http://schemas.openxmlformats.org/officeDocument/2006/relationships/ctrlProp" Target="../ctrlProps/ctrlProp297.xml"/><Relationship Id="rId10" Type="http://schemas.openxmlformats.org/officeDocument/2006/relationships/ctrlProp" Target="../ctrlProps/ctrlProp302.xml"/><Relationship Id="rId4" Type="http://schemas.openxmlformats.org/officeDocument/2006/relationships/ctrlProp" Target="../ctrlProps/ctrlProp296.xml"/><Relationship Id="rId9" Type="http://schemas.openxmlformats.org/officeDocument/2006/relationships/ctrlProp" Target="../ctrlProps/ctrlProp30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9.xml"/><Relationship Id="rId13" Type="http://schemas.openxmlformats.org/officeDocument/2006/relationships/ctrlProp" Target="../ctrlProps/ctrlProp314.xml"/><Relationship Id="rId18" Type="http://schemas.openxmlformats.org/officeDocument/2006/relationships/ctrlProp" Target="../ctrlProps/ctrlProp319.xml"/><Relationship Id="rId26" Type="http://schemas.openxmlformats.org/officeDocument/2006/relationships/ctrlProp" Target="../ctrlProps/ctrlProp327.xml"/><Relationship Id="rId3" Type="http://schemas.openxmlformats.org/officeDocument/2006/relationships/vmlDrawing" Target="../drawings/vmlDrawing9.vml"/><Relationship Id="rId21" Type="http://schemas.openxmlformats.org/officeDocument/2006/relationships/ctrlProp" Target="../ctrlProps/ctrlProp322.xml"/><Relationship Id="rId7" Type="http://schemas.openxmlformats.org/officeDocument/2006/relationships/ctrlProp" Target="../ctrlProps/ctrlProp308.xml"/><Relationship Id="rId12" Type="http://schemas.openxmlformats.org/officeDocument/2006/relationships/ctrlProp" Target="../ctrlProps/ctrlProp313.xml"/><Relationship Id="rId17" Type="http://schemas.openxmlformats.org/officeDocument/2006/relationships/ctrlProp" Target="../ctrlProps/ctrlProp318.xml"/><Relationship Id="rId25" Type="http://schemas.openxmlformats.org/officeDocument/2006/relationships/ctrlProp" Target="../ctrlProps/ctrlProp326.xml"/><Relationship Id="rId2" Type="http://schemas.openxmlformats.org/officeDocument/2006/relationships/drawing" Target="../drawings/drawing10.xml"/><Relationship Id="rId16" Type="http://schemas.openxmlformats.org/officeDocument/2006/relationships/ctrlProp" Target="../ctrlProps/ctrlProp317.xml"/><Relationship Id="rId20" Type="http://schemas.openxmlformats.org/officeDocument/2006/relationships/ctrlProp" Target="../ctrlProps/ctrlProp321.xml"/><Relationship Id="rId29" Type="http://schemas.openxmlformats.org/officeDocument/2006/relationships/ctrlProp" Target="../ctrlProps/ctrlProp330.xml"/><Relationship Id="rId1" Type="http://schemas.openxmlformats.org/officeDocument/2006/relationships/printerSettings" Target="../printerSettings/printerSettings12.bin"/><Relationship Id="rId6" Type="http://schemas.openxmlformats.org/officeDocument/2006/relationships/ctrlProp" Target="../ctrlProps/ctrlProp307.xml"/><Relationship Id="rId11" Type="http://schemas.openxmlformats.org/officeDocument/2006/relationships/ctrlProp" Target="../ctrlProps/ctrlProp312.xml"/><Relationship Id="rId24" Type="http://schemas.openxmlformats.org/officeDocument/2006/relationships/ctrlProp" Target="../ctrlProps/ctrlProp325.xml"/><Relationship Id="rId5" Type="http://schemas.openxmlformats.org/officeDocument/2006/relationships/ctrlProp" Target="../ctrlProps/ctrlProp306.xml"/><Relationship Id="rId15" Type="http://schemas.openxmlformats.org/officeDocument/2006/relationships/ctrlProp" Target="../ctrlProps/ctrlProp316.xml"/><Relationship Id="rId23" Type="http://schemas.openxmlformats.org/officeDocument/2006/relationships/ctrlProp" Target="../ctrlProps/ctrlProp324.xml"/><Relationship Id="rId28" Type="http://schemas.openxmlformats.org/officeDocument/2006/relationships/ctrlProp" Target="../ctrlProps/ctrlProp329.xml"/><Relationship Id="rId10" Type="http://schemas.openxmlformats.org/officeDocument/2006/relationships/ctrlProp" Target="../ctrlProps/ctrlProp311.xml"/><Relationship Id="rId19" Type="http://schemas.openxmlformats.org/officeDocument/2006/relationships/ctrlProp" Target="../ctrlProps/ctrlProp320.xml"/><Relationship Id="rId31" Type="http://schemas.openxmlformats.org/officeDocument/2006/relationships/ctrlProp" Target="../ctrlProps/ctrlProp332.xml"/><Relationship Id="rId4" Type="http://schemas.openxmlformats.org/officeDocument/2006/relationships/ctrlProp" Target="../ctrlProps/ctrlProp305.xml"/><Relationship Id="rId9" Type="http://schemas.openxmlformats.org/officeDocument/2006/relationships/ctrlProp" Target="../ctrlProps/ctrlProp310.xml"/><Relationship Id="rId14" Type="http://schemas.openxmlformats.org/officeDocument/2006/relationships/ctrlProp" Target="../ctrlProps/ctrlProp315.xml"/><Relationship Id="rId22" Type="http://schemas.openxmlformats.org/officeDocument/2006/relationships/ctrlProp" Target="../ctrlProps/ctrlProp323.xml"/><Relationship Id="rId27" Type="http://schemas.openxmlformats.org/officeDocument/2006/relationships/ctrlProp" Target="../ctrlProps/ctrlProp328.xml"/><Relationship Id="rId30" Type="http://schemas.openxmlformats.org/officeDocument/2006/relationships/ctrlProp" Target="../ctrlProps/ctrlProp33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37.xml"/><Relationship Id="rId3" Type="http://schemas.openxmlformats.org/officeDocument/2006/relationships/vmlDrawing" Target="../drawings/vmlDrawing10.vml"/><Relationship Id="rId7" Type="http://schemas.openxmlformats.org/officeDocument/2006/relationships/ctrlProp" Target="../ctrlProps/ctrlProp336.xml"/><Relationship Id="rId12" Type="http://schemas.openxmlformats.org/officeDocument/2006/relationships/ctrlProp" Target="../ctrlProps/ctrlProp341.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335.xml"/><Relationship Id="rId11" Type="http://schemas.openxmlformats.org/officeDocument/2006/relationships/ctrlProp" Target="../ctrlProps/ctrlProp340.xml"/><Relationship Id="rId5" Type="http://schemas.openxmlformats.org/officeDocument/2006/relationships/ctrlProp" Target="../ctrlProps/ctrlProp334.xml"/><Relationship Id="rId10" Type="http://schemas.openxmlformats.org/officeDocument/2006/relationships/ctrlProp" Target="../ctrlProps/ctrlProp339.xml"/><Relationship Id="rId4" Type="http://schemas.openxmlformats.org/officeDocument/2006/relationships/ctrlProp" Target="../ctrlProps/ctrlProp333.xml"/><Relationship Id="rId9" Type="http://schemas.openxmlformats.org/officeDocument/2006/relationships/ctrlProp" Target="../ctrlProps/ctrlProp33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8.xml"/><Relationship Id="rId5" Type="http://schemas.openxmlformats.org/officeDocument/2006/relationships/ctrlProp" Target="../ctrlProps/ctrlProp117.xml"/><Relationship Id="rId4" Type="http://schemas.openxmlformats.org/officeDocument/2006/relationships/ctrlProp" Target="../ctrlProps/ctrlProp1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21.xml"/><Relationship Id="rId5" Type="http://schemas.openxmlformats.org/officeDocument/2006/relationships/ctrlProp" Target="../ctrlProps/ctrlProp120.xml"/><Relationship Id="rId4" Type="http://schemas.openxmlformats.org/officeDocument/2006/relationships/ctrlProp" Target="../ctrlProps/ctrlProp119.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25.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24.xml"/><Relationship Id="rId5" Type="http://schemas.openxmlformats.org/officeDocument/2006/relationships/ctrlProp" Target="../ctrlProps/ctrlProp123.xml"/><Relationship Id="rId4" Type="http://schemas.openxmlformats.org/officeDocument/2006/relationships/ctrlProp" Target="../ctrlProps/ctrlProp12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18" Type="http://schemas.openxmlformats.org/officeDocument/2006/relationships/ctrlProp" Target="../ctrlProps/ctrlProp140.xml"/><Relationship Id="rId3" Type="http://schemas.openxmlformats.org/officeDocument/2006/relationships/vmlDrawing" Target="../drawings/vmlDrawing5.vml"/><Relationship Id="rId21" Type="http://schemas.openxmlformats.org/officeDocument/2006/relationships/ctrlProp" Target="../ctrlProps/ctrlProp143.xml"/><Relationship Id="rId7" Type="http://schemas.openxmlformats.org/officeDocument/2006/relationships/ctrlProp" Target="../ctrlProps/ctrlProp129.xml"/><Relationship Id="rId12" Type="http://schemas.openxmlformats.org/officeDocument/2006/relationships/ctrlProp" Target="../ctrlProps/ctrlProp134.xml"/><Relationship Id="rId17" Type="http://schemas.openxmlformats.org/officeDocument/2006/relationships/ctrlProp" Target="../ctrlProps/ctrlProp139.xml"/><Relationship Id="rId2" Type="http://schemas.openxmlformats.org/officeDocument/2006/relationships/drawing" Target="../drawings/drawing6.xml"/><Relationship Id="rId16" Type="http://schemas.openxmlformats.org/officeDocument/2006/relationships/ctrlProp" Target="../ctrlProps/ctrlProp138.xml"/><Relationship Id="rId20" Type="http://schemas.openxmlformats.org/officeDocument/2006/relationships/ctrlProp" Target="../ctrlProps/ctrlProp142.xml"/><Relationship Id="rId1" Type="http://schemas.openxmlformats.org/officeDocument/2006/relationships/printerSettings" Target="../printerSettings/printerSettings8.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23" Type="http://schemas.openxmlformats.org/officeDocument/2006/relationships/ctrlProp" Target="../ctrlProps/ctrlProp145.xml"/><Relationship Id="rId10" Type="http://schemas.openxmlformats.org/officeDocument/2006/relationships/ctrlProp" Target="../ctrlProps/ctrlProp132.xml"/><Relationship Id="rId19" Type="http://schemas.openxmlformats.org/officeDocument/2006/relationships/ctrlProp" Target="../ctrlProps/ctrlProp141.xml"/><Relationship Id="rId4" Type="http://schemas.openxmlformats.org/officeDocument/2006/relationships/ctrlProp" Target="../ctrlProps/ctrlProp126.xml"/><Relationship Id="rId9" Type="http://schemas.openxmlformats.org/officeDocument/2006/relationships/ctrlProp" Target="../ctrlProps/ctrlProp131.xml"/><Relationship Id="rId14" Type="http://schemas.openxmlformats.org/officeDocument/2006/relationships/ctrlProp" Target="../ctrlProps/ctrlProp136.xml"/><Relationship Id="rId22" Type="http://schemas.openxmlformats.org/officeDocument/2006/relationships/ctrlProp" Target="../ctrlProps/ctrlProp144.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55.xml"/><Relationship Id="rId18" Type="http://schemas.openxmlformats.org/officeDocument/2006/relationships/ctrlProp" Target="../ctrlProps/ctrlProp160.xml"/><Relationship Id="rId26" Type="http://schemas.openxmlformats.org/officeDocument/2006/relationships/ctrlProp" Target="../ctrlProps/ctrlProp168.xml"/><Relationship Id="rId39" Type="http://schemas.openxmlformats.org/officeDocument/2006/relationships/ctrlProp" Target="../ctrlProps/ctrlProp181.xml"/><Relationship Id="rId3" Type="http://schemas.openxmlformats.org/officeDocument/2006/relationships/vmlDrawing" Target="../drawings/vmlDrawing6.vml"/><Relationship Id="rId21" Type="http://schemas.openxmlformats.org/officeDocument/2006/relationships/ctrlProp" Target="../ctrlProps/ctrlProp163.xml"/><Relationship Id="rId34" Type="http://schemas.openxmlformats.org/officeDocument/2006/relationships/ctrlProp" Target="../ctrlProps/ctrlProp176.xml"/><Relationship Id="rId42" Type="http://schemas.openxmlformats.org/officeDocument/2006/relationships/ctrlProp" Target="../ctrlProps/ctrlProp184.xml"/><Relationship Id="rId47" Type="http://schemas.openxmlformats.org/officeDocument/2006/relationships/ctrlProp" Target="../ctrlProps/ctrlProp189.xml"/><Relationship Id="rId50" Type="http://schemas.openxmlformats.org/officeDocument/2006/relationships/ctrlProp" Target="../ctrlProps/ctrlProp192.xml"/><Relationship Id="rId7" Type="http://schemas.openxmlformats.org/officeDocument/2006/relationships/ctrlProp" Target="../ctrlProps/ctrlProp149.xml"/><Relationship Id="rId12" Type="http://schemas.openxmlformats.org/officeDocument/2006/relationships/ctrlProp" Target="../ctrlProps/ctrlProp154.xml"/><Relationship Id="rId17" Type="http://schemas.openxmlformats.org/officeDocument/2006/relationships/ctrlProp" Target="../ctrlProps/ctrlProp159.xml"/><Relationship Id="rId25" Type="http://schemas.openxmlformats.org/officeDocument/2006/relationships/ctrlProp" Target="../ctrlProps/ctrlProp167.xml"/><Relationship Id="rId33" Type="http://schemas.openxmlformats.org/officeDocument/2006/relationships/ctrlProp" Target="../ctrlProps/ctrlProp175.xml"/><Relationship Id="rId38" Type="http://schemas.openxmlformats.org/officeDocument/2006/relationships/ctrlProp" Target="../ctrlProps/ctrlProp180.xml"/><Relationship Id="rId46" Type="http://schemas.openxmlformats.org/officeDocument/2006/relationships/ctrlProp" Target="../ctrlProps/ctrlProp188.xml"/><Relationship Id="rId2" Type="http://schemas.openxmlformats.org/officeDocument/2006/relationships/drawing" Target="../drawings/drawing7.xml"/><Relationship Id="rId16" Type="http://schemas.openxmlformats.org/officeDocument/2006/relationships/ctrlProp" Target="../ctrlProps/ctrlProp158.xml"/><Relationship Id="rId20" Type="http://schemas.openxmlformats.org/officeDocument/2006/relationships/ctrlProp" Target="../ctrlProps/ctrlProp162.xml"/><Relationship Id="rId29" Type="http://schemas.openxmlformats.org/officeDocument/2006/relationships/ctrlProp" Target="../ctrlProps/ctrlProp171.xml"/><Relationship Id="rId41" Type="http://schemas.openxmlformats.org/officeDocument/2006/relationships/ctrlProp" Target="../ctrlProps/ctrlProp183.xml"/><Relationship Id="rId1" Type="http://schemas.openxmlformats.org/officeDocument/2006/relationships/printerSettings" Target="../printerSettings/printerSettings9.bin"/><Relationship Id="rId6" Type="http://schemas.openxmlformats.org/officeDocument/2006/relationships/ctrlProp" Target="../ctrlProps/ctrlProp148.xml"/><Relationship Id="rId11" Type="http://schemas.openxmlformats.org/officeDocument/2006/relationships/ctrlProp" Target="../ctrlProps/ctrlProp153.xml"/><Relationship Id="rId24" Type="http://schemas.openxmlformats.org/officeDocument/2006/relationships/ctrlProp" Target="../ctrlProps/ctrlProp166.xml"/><Relationship Id="rId32" Type="http://schemas.openxmlformats.org/officeDocument/2006/relationships/ctrlProp" Target="../ctrlProps/ctrlProp174.xml"/><Relationship Id="rId37" Type="http://schemas.openxmlformats.org/officeDocument/2006/relationships/ctrlProp" Target="../ctrlProps/ctrlProp179.xml"/><Relationship Id="rId40" Type="http://schemas.openxmlformats.org/officeDocument/2006/relationships/ctrlProp" Target="../ctrlProps/ctrlProp182.xml"/><Relationship Id="rId45" Type="http://schemas.openxmlformats.org/officeDocument/2006/relationships/ctrlProp" Target="../ctrlProps/ctrlProp187.xml"/><Relationship Id="rId5" Type="http://schemas.openxmlformats.org/officeDocument/2006/relationships/ctrlProp" Target="../ctrlProps/ctrlProp147.xml"/><Relationship Id="rId15" Type="http://schemas.openxmlformats.org/officeDocument/2006/relationships/ctrlProp" Target="../ctrlProps/ctrlProp157.xml"/><Relationship Id="rId23" Type="http://schemas.openxmlformats.org/officeDocument/2006/relationships/ctrlProp" Target="../ctrlProps/ctrlProp165.xml"/><Relationship Id="rId28" Type="http://schemas.openxmlformats.org/officeDocument/2006/relationships/ctrlProp" Target="../ctrlProps/ctrlProp170.xml"/><Relationship Id="rId36" Type="http://schemas.openxmlformats.org/officeDocument/2006/relationships/ctrlProp" Target="../ctrlProps/ctrlProp178.xml"/><Relationship Id="rId49" Type="http://schemas.openxmlformats.org/officeDocument/2006/relationships/ctrlProp" Target="../ctrlProps/ctrlProp191.xml"/><Relationship Id="rId10" Type="http://schemas.openxmlformats.org/officeDocument/2006/relationships/ctrlProp" Target="../ctrlProps/ctrlProp152.xml"/><Relationship Id="rId19" Type="http://schemas.openxmlformats.org/officeDocument/2006/relationships/ctrlProp" Target="../ctrlProps/ctrlProp161.xml"/><Relationship Id="rId31" Type="http://schemas.openxmlformats.org/officeDocument/2006/relationships/ctrlProp" Target="../ctrlProps/ctrlProp173.xml"/><Relationship Id="rId44" Type="http://schemas.openxmlformats.org/officeDocument/2006/relationships/ctrlProp" Target="../ctrlProps/ctrlProp186.xml"/><Relationship Id="rId4" Type="http://schemas.openxmlformats.org/officeDocument/2006/relationships/ctrlProp" Target="../ctrlProps/ctrlProp146.xml"/><Relationship Id="rId9" Type="http://schemas.openxmlformats.org/officeDocument/2006/relationships/ctrlProp" Target="../ctrlProps/ctrlProp151.xml"/><Relationship Id="rId14" Type="http://schemas.openxmlformats.org/officeDocument/2006/relationships/ctrlProp" Target="../ctrlProps/ctrlProp156.xml"/><Relationship Id="rId22" Type="http://schemas.openxmlformats.org/officeDocument/2006/relationships/ctrlProp" Target="../ctrlProps/ctrlProp164.xml"/><Relationship Id="rId27" Type="http://schemas.openxmlformats.org/officeDocument/2006/relationships/ctrlProp" Target="../ctrlProps/ctrlProp169.xml"/><Relationship Id="rId30" Type="http://schemas.openxmlformats.org/officeDocument/2006/relationships/ctrlProp" Target="../ctrlProps/ctrlProp172.xml"/><Relationship Id="rId35" Type="http://schemas.openxmlformats.org/officeDocument/2006/relationships/ctrlProp" Target="../ctrlProps/ctrlProp177.xml"/><Relationship Id="rId43" Type="http://schemas.openxmlformats.org/officeDocument/2006/relationships/ctrlProp" Target="../ctrlProps/ctrlProp185.xml"/><Relationship Id="rId48" Type="http://schemas.openxmlformats.org/officeDocument/2006/relationships/ctrlProp" Target="../ctrlProps/ctrlProp190.xml"/><Relationship Id="rId8" Type="http://schemas.openxmlformats.org/officeDocument/2006/relationships/ctrlProp" Target="../ctrlProps/ctrlProp150.xml"/><Relationship Id="rId51" Type="http://schemas.openxmlformats.org/officeDocument/2006/relationships/ctrlProp" Target="../ctrlProps/ctrlProp19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86"/>
  <sheetViews>
    <sheetView tabSelected="1" zoomScaleNormal="100" zoomScaleSheetLayoutView="100" workbookViewId="0">
      <selection activeCell="B10" sqref="B10"/>
    </sheetView>
  </sheetViews>
  <sheetFormatPr defaultRowHeight="14.5" x14ac:dyDescent="0.35"/>
  <cols>
    <col min="1" max="1" width="99.453125" style="44" customWidth="1"/>
    <col min="2" max="2" width="55.453125" customWidth="1"/>
  </cols>
  <sheetData>
    <row r="1" spans="1:2" ht="21.75" customHeight="1" x14ac:dyDescent="0.35">
      <c r="A1" s="43" t="s">
        <v>425</v>
      </c>
      <c r="B1" s="408" t="s">
        <v>414</v>
      </c>
    </row>
    <row r="2" spans="1:2" s="6" customFormat="1" ht="112.5" customHeight="1" x14ac:dyDescent="0.35">
      <c r="A2" s="476" t="s">
        <v>467</v>
      </c>
      <c r="B2" s="409" t="str">
        <f>ship_type</f>
        <v>LSD</v>
      </c>
    </row>
    <row r="3" spans="1:2" s="6" customFormat="1" ht="15.75" customHeight="1" x14ac:dyDescent="0.35">
      <c r="A3" s="56" t="s">
        <v>45</v>
      </c>
    </row>
    <row r="4" spans="1:2" ht="15.5" x14ac:dyDescent="0.35">
      <c r="A4" s="46" t="s">
        <v>35</v>
      </c>
    </row>
    <row r="5" spans="1:2" ht="15.5" x14ac:dyDescent="0.35">
      <c r="A5" s="46" t="s">
        <v>36</v>
      </c>
    </row>
    <row r="6" spans="1:2" ht="15.5" x14ac:dyDescent="0.35">
      <c r="A6" s="46" t="s">
        <v>37</v>
      </c>
    </row>
    <row r="7" spans="1:2" ht="15.5" x14ac:dyDescent="0.35">
      <c r="A7" s="47" t="s">
        <v>38</v>
      </c>
    </row>
    <row r="8" spans="1:2" ht="15.5" x14ac:dyDescent="0.35">
      <c r="A8" s="46" t="s">
        <v>62</v>
      </c>
    </row>
    <row r="9" spans="1:2" ht="15.5" x14ac:dyDescent="0.35">
      <c r="A9" s="46" t="s">
        <v>61</v>
      </c>
    </row>
    <row r="10" spans="1:2" ht="15.5" x14ac:dyDescent="0.35">
      <c r="A10" s="47" t="s">
        <v>39</v>
      </c>
    </row>
    <row r="11" spans="1:2" ht="15.5" x14ac:dyDescent="0.35">
      <c r="A11" s="46" t="s">
        <v>74</v>
      </c>
    </row>
    <row r="12" spans="1:2" ht="15.5" x14ac:dyDescent="0.35">
      <c r="A12" s="46" t="s">
        <v>72</v>
      </c>
    </row>
    <row r="13" spans="1:2" ht="15.5" x14ac:dyDescent="0.35">
      <c r="A13" s="47" t="s">
        <v>40</v>
      </c>
    </row>
    <row r="14" spans="1:2" ht="15.5" x14ac:dyDescent="0.35">
      <c r="A14" s="46" t="s">
        <v>211</v>
      </c>
    </row>
    <row r="15" spans="1:2" ht="15.5" x14ac:dyDescent="0.35">
      <c r="A15" s="46" t="s">
        <v>212</v>
      </c>
    </row>
    <row r="16" spans="1:2" ht="15.5" x14ac:dyDescent="0.35">
      <c r="A16" s="47" t="s">
        <v>41</v>
      </c>
    </row>
    <row r="17" spans="1:3" ht="25.5" customHeight="1" x14ac:dyDescent="0.35">
      <c r="A17" s="55" t="s">
        <v>42</v>
      </c>
    </row>
    <row r="18" spans="1:3" ht="30.75" customHeight="1" x14ac:dyDescent="0.35">
      <c r="A18" s="479" t="s">
        <v>213</v>
      </c>
    </row>
    <row r="19" spans="1:3" ht="124.5" customHeight="1" x14ac:dyDescent="0.35">
      <c r="A19" s="410" t="s">
        <v>442</v>
      </c>
    </row>
    <row r="20" spans="1:3" ht="19.5" customHeight="1" x14ac:dyDescent="0.35">
      <c r="A20" s="56" t="s">
        <v>214</v>
      </c>
    </row>
    <row r="21" spans="1:3" ht="69" customHeight="1" x14ac:dyDescent="0.35">
      <c r="A21" s="476" t="s">
        <v>215</v>
      </c>
    </row>
    <row r="22" spans="1:3" ht="19.5" customHeight="1" x14ac:dyDescent="0.35">
      <c r="A22" s="198" t="s">
        <v>216</v>
      </c>
    </row>
    <row r="23" spans="1:3" ht="162.75" customHeight="1" x14ac:dyDescent="0.35">
      <c r="A23" s="476" t="s">
        <v>464</v>
      </c>
    </row>
    <row r="25" spans="1:3" x14ac:dyDescent="0.35">
      <c r="C25">
        <v>1</v>
      </c>
    </row>
    <row r="71" spans="1:2" x14ac:dyDescent="0.35">
      <c r="A71" s="403">
        <v>9</v>
      </c>
      <c r="B71" s="404" t="str">
        <f>VLOOKUP(shiptypenum,shiptbl,2,FALSE)</f>
        <v>LSD</v>
      </c>
    </row>
    <row r="72" spans="1:2" x14ac:dyDescent="0.35">
      <c r="A72" s="403"/>
      <c r="B72" s="404"/>
    </row>
    <row r="73" spans="1:2" x14ac:dyDescent="0.35">
      <c r="A73" s="403"/>
      <c r="B73" s="404"/>
    </row>
    <row r="74" spans="1:2" x14ac:dyDescent="0.35">
      <c r="A74" s="405">
        <v>1</v>
      </c>
      <c r="B74" s="404" t="s">
        <v>77</v>
      </c>
    </row>
    <row r="75" spans="1:2" x14ac:dyDescent="0.35">
      <c r="A75" s="405">
        <v>2</v>
      </c>
      <c r="B75" s="404" t="s">
        <v>391</v>
      </c>
    </row>
    <row r="76" spans="1:2" x14ac:dyDescent="0.35">
      <c r="A76" s="405">
        <v>3</v>
      </c>
      <c r="B76" s="404" t="s">
        <v>184</v>
      </c>
    </row>
    <row r="77" spans="1:2" x14ac:dyDescent="0.35">
      <c r="A77" s="405">
        <v>4</v>
      </c>
      <c r="B77" s="404" t="s">
        <v>183</v>
      </c>
    </row>
    <row r="78" spans="1:2" x14ac:dyDescent="0.35">
      <c r="A78" s="405">
        <v>5</v>
      </c>
      <c r="B78" s="404" t="s">
        <v>94</v>
      </c>
    </row>
    <row r="79" spans="1:2" x14ac:dyDescent="0.35">
      <c r="A79" s="405">
        <v>6</v>
      </c>
      <c r="B79" s="404" t="s">
        <v>387</v>
      </c>
    </row>
    <row r="80" spans="1:2" x14ac:dyDescent="0.35">
      <c r="A80" s="405">
        <v>7</v>
      </c>
      <c r="B80" s="404" t="s">
        <v>182</v>
      </c>
    </row>
    <row r="81" spans="1:2" x14ac:dyDescent="0.35">
      <c r="A81" s="405">
        <v>8</v>
      </c>
      <c r="B81" s="404" t="s">
        <v>375</v>
      </c>
    </row>
    <row r="82" spans="1:2" x14ac:dyDescent="0.35">
      <c r="A82" s="405">
        <v>9</v>
      </c>
      <c r="B82" s="404" t="s">
        <v>181</v>
      </c>
    </row>
    <row r="83" spans="1:2" x14ac:dyDescent="0.35">
      <c r="A83" s="405">
        <v>10</v>
      </c>
      <c r="B83" s="404" t="s">
        <v>86</v>
      </c>
    </row>
    <row r="84" spans="1:2" x14ac:dyDescent="0.35">
      <c r="A84" s="405">
        <v>11</v>
      </c>
      <c r="B84" s="404" t="s">
        <v>376</v>
      </c>
    </row>
    <row r="85" spans="1:2" x14ac:dyDescent="0.35">
      <c r="A85" s="405">
        <v>12</v>
      </c>
      <c r="B85" s="404" t="s">
        <v>88</v>
      </c>
    </row>
    <row r="86" spans="1:2" x14ac:dyDescent="0.35">
      <c r="A86" s="405">
        <v>13</v>
      </c>
      <c r="B86" s="404" t="s">
        <v>426</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71"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0"/>
  <sheetViews>
    <sheetView zoomScaleNormal="100" zoomScaleSheetLayoutView="100" workbookViewId="0">
      <selection activeCell="H65" sqref="H65"/>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84" customWidth="1"/>
    <col min="7" max="7" width="30.7265625" style="183" customWidth="1"/>
    <col min="8" max="8" width="32.7265625" customWidth="1"/>
    <col min="9" max="10" width="0" hidden="1" customWidth="1"/>
  </cols>
  <sheetData>
    <row r="1" spans="1:10" x14ac:dyDescent="0.35">
      <c r="A1" s="162" t="s">
        <v>180</v>
      </c>
      <c r="B1" s="163"/>
      <c r="C1" s="164"/>
      <c r="D1" s="162"/>
      <c r="G1" s="371" t="s">
        <v>414</v>
      </c>
    </row>
    <row r="2" spans="1:10" x14ac:dyDescent="0.35">
      <c r="A2" s="162"/>
      <c r="B2" s="163"/>
      <c r="C2" s="164"/>
      <c r="D2" s="162"/>
      <c r="G2" s="372" t="str">
        <f>VLOOKUP(shiptypenum,shiptbl,2,FALSE)</f>
        <v>LSD</v>
      </c>
    </row>
    <row r="3" spans="1:10" x14ac:dyDescent="0.35">
      <c r="A3" s="607" t="s">
        <v>44</v>
      </c>
      <c r="B3" s="607"/>
      <c r="C3" s="166"/>
      <c r="D3" s="162"/>
      <c r="E3" s="165"/>
      <c r="G3" s="186"/>
    </row>
    <row r="4" spans="1:10" s="20" customFormat="1" ht="33.75" customHeight="1" x14ac:dyDescent="0.35">
      <c r="A4" s="585" t="s">
        <v>483</v>
      </c>
      <c r="B4" s="585"/>
      <c r="C4" s="585"/>
      <c r="D4" s="272"/>
      <c r="E4" s="254"/>
      <c r="G4" s="182"/>
    </row>
    <row r="5" spans="1:10" s="20" customFormat="1" ht="33.75" customHeight="1" x14ac:dyDescent="0.35">
      <c r="A5" s="585" t="s">
        <v>482</v>
      </c>
      <c r="B5" s="585"/>
      <c r="C5" s="585"/>
      <c r="D5" s="245"/>
      <c r="E5" s="254"/>
      <c r="G5" s="182"/>
    </row>
    <row r="6" spans="1:10" ht="22.5" customHeight="1" thickBot="1" x14ac:dyDescent="0.4">
      <c r="A6" s="167"/>
      <c r="B6" s="58"/>
      <c r="C6" s="166"/>
      <c r="D6" s="168"/>
      <c r="E6" s="165"/>
    </row>
    <row r="7" spans="1:10" ht="94.5" customHeight="1" thickTop="1" thickBot="1" x14ac:dyDescent="0.4">
      <c r="A7" s="277" t="s">
        <v>171</v>
      </c>
      <c r="B7" s="610" t="s">
        <v>287</v>
      </c>
      <c r="C7" s="611"/>
      <c r="D7" s="462" t="s">
        <v>26</v>
      </c>
      <c r="E7" s="562" t="s">
        <v>24</v>
      </c>
      <c r="F7" s="184" t="s">
        <v>25</v>
      </c>
      <c r="G7" s="317"/>
    </row>
    <row r="8" spans="1:10" ht="66.75" customHeight="1" thickTop="1" thickBot="1" x14ac:dyDescent="0.4">
      <c r="A8" s="267"/>
      <c r="B8" s="595" t="s">
        <v>466</v>
      </c>
      <c r="C8" s="620"/>
      <c r="D8" s="454" t="s">
        <v>269</v>
      </c>
      <c r="E8" s="165"/>
      <c r="G8" s="317"/>
    </row>
    <row r="9" spans="1:10" x14ac:dyDescent="0.35">
      <c r="A9" s="160" t="s">
        <v>428</v>
      </c>
      <c r="B9" s="278" t="s">
        <v>165</v>
      </c>
      <c r="C9" s="360">
        <f>VLOOKUP(ship_type,fitbestunderway,2,FALSE)</f>
        <v>5</v>
      </c>
      <c r="D9" s="265" t="b">
        <v>0</v>
      </c>
      <c r="E9" s="81">
        <v>10</v>
      </c>
      <c r="F9" s="184">
        <f>IF(D9,IF(9="-",0,E9),0)</f>
        <v>0</v>
      </c>
      <c r="G9" s="317"/>
      <c r="I9">
        <f>IF(D9,1,0)</f>
        <v>0</v>
      </c>
    </row>
    <row r="10" spans="1:10" ht="15.75" customHeight="1" x14ac:dyDescent="0.35">
      <c r="A10" s="160"/>
      <c r="B10" s="274"/>
      <c r="C10" s="360">
        <f>VLOOKUP(ship_type,fitbetterunderway,2,FALSE)</f>
        <v>4</v>
      </c>
      <c r="D10" s="265" t="b">
        <v>0</v>
      </c>
      <c r="E10" s="81">
        <f>0.85*E9</f>
        <v>8.5</v>
      </c>
      <c r="F10" s="184">
        <f t="shared" ref="F10:F20" si="0">IF(D10,IF(9="-",0,E10),0)</f>
        <v>0</v>
      </c>
      <c r="G10" s="317"/>
      <c r="H10" t="str">
        <f>IF(J11&gt;1,"Entry error, select one answer","")</f>
        <v/>
      </c>
      <c r="I10">
        <f t="shared" ref="I10:I20" si="1">IF(D10,1,0)</f>
        <v>0</v>
      </c>
    </row>
    <row r="11" spans="1:10" ht="15.75" customHeight="1" x14ac:dyDescent="0.35">
      <c r="A11" s="160"/>
      <c r="B11" s="279"/>
      <c r="C11" s="361">
        <f>VLOOKUP(ship_type,fitgoodunderway,2,FALSE)</f>
        <v>3</v>
      </c>
      <c r="D11" s="265" t="b">
        <v>0</v>
      </c>
      <c r="E11" s="81">
        <f>E9*0.75</f>
        <v>7.5</v>
      </c>
      <c r="F11" s="184">
        <f t="shared" si="0"/>
        <v>0</v>
      </c>
      <c r="G11" s="317"/>
      <c r="I11">
        <f t="shared" si="1"/>
        <v>0</v>
      </c>
      <c r="J11">
        <f>SUM(I9:I11)</f>
        <v>0</v>
      </c>
    </row>
    <row r="12" spans="1:10" ht="15.75" customHeight="1" x14ac:dyDescent="0.35">
      <c r="A12" s="160" t="s">
        <v>429</v>
      </c>
      <c r="B12" s="278" t="s">
        <v>166</v>
      </c>
      <c r="C12" s="362">
        <f>VLOOKUP(ship_type,fitbestunderway,3,FALSE)</f>
        <v>1</v>
      </c>
      <c r="D12" s="265" t="b">
        <v>0</v>
      </c>
      <c r="E12" s="81">
        <v>10</v>
      </c>
      <c r="F12" s="184">
        <f t="shared" si="0"/>
        <v>0</v>
      </c>
      <c r="G12" s="317"/>
      <c r="I12">
        <f>IF(D12,1,0)</f>
        <v>0</v>
      </c>
    </row>
    <row r="13" spans="1:10" ht="15.75" customHeight="1" x14ac:dyDescent="0.35">
      <c r="A13" s="169"/>
      <c r="B13" s="172"/>
      <c r="C13" s="362" t="str">
        <f>VLOOKUP(ship_type,fitbetterunderway,3,FALSE)</f>
        <v>-</v>
      </c>
      <c r="D13" s="265" t="b">
        <v>0</v>
      </c>
      <c r="E13" s="81">
        <f t="shared" ref="E13" si="2">0.85*E12</f>
        <v>8.5</v>
      </c>
      <c r="F13" s="184">
        <f t="shared" si="0"/>
        <v>0</v>
      </c>
      <c r="G13" s="317"/>
      <c r="H13" t="str">
        <f>IF(J14&gt;1,"Entry error, select one answer","")</f>
        <v/>
      </c>
      <c r="I13">
        <f t="shared" si="1"/>
        <v>0</v>
      </c>
    </row>
    <row r="14" spans="1:10" ht="15.75" customHeight="1" x14ac:dyDescent="0.35">
      <c r="A14" s="169"/>
      <c r="B14" s="246"/>
      <c r="C14" s="361" t="str">
        <f>VLOOKUP(ship_type,fitgoodunderway,3,FALSE)</f>
        <v>-</v>
      </c>
      <c r="D14" s="265" t="b">
        <v>0</v>
      </c>
      <c r="E14" s="81">
        <f t="shared" ref="E14" si="3">E12*0.75</f>
        <v>7.5</v>
      </c>
      <c r="F14" s="184">
        <f t="shared" si="0"/>
        <v>0</v>
      </c>
      <c r="G14" s="317"/>
      <c r="I14">
        <f t="shared" si="1"/>
        <v>0</v>
      </c>
      <c r="J14">
        <f>SUM(I12:I14)</f>
        <v>0</v>
      </c>
    </row>
    <row r="15" spans="1:10" ht="15.75" customHeight="1" x14ac:dyDescent="0.35">
      <c r="A15" s="160" t="s">
        <v>430</v>
      </c>
      <c r="B15" s="278" t="s">
        <v>97</v>
      </c>
      <c r="C15" s="362">
        <f>VLOOKUP(ship_type,fitbestunderway,4,FALSE)</f>
        <v>4</v>
      </c>
      <c r="D15" s="265" t="b">
        <v>0</v>
      </c>
      <c r="E15" s="81">
        <v>10</v>
      </c>
      <c r="F15" s="184">
        <f t="shared" si="0"/>
        <v>0</v>
      </c>
      <c r="G15" s="317"/>
      <c r="I15">
        <f>IF(D15,1,0)</f>
        <v>0</v>
      </c>
    </row>
    <row r="16" spans="1:10" ht="15.75" customHeight="1" x14ac:dyDescent="0.35">
      <c r="A16" s="169"/>
      <c r="B16" s="172"/>
      <c r="C16" s="362">
        <f>VLOOKUP(ship_type,fitbetterunderway,4,FALSE)</f>
        <v>3</v>
      </c>
      <c r="D16" s="265" t="b">
        <v>0</v>
      </c>
      <c r="E16" s="81">
        <f t="shared" ref="E16" si="4">0.85*E15</f>
        <v>8.5</v>
      </c>
      <c r="F16" s="184">
        <f t="shared" si="0"/>
        <v>0</v>
      </c>
      <c r="G16" s="317"/>
      <c r="H16" t="str">
        <f>IF(J17&gt;1,"Entry error, select one answer","")</f>
        <v/>
      </c>
      <c r="I16">
        <f t="shared" si="1"/>
        <v>0</v>
      </c>
    </row>
    <row r="17" spans="1:18" ht="15.75" customHeight="1" x14ac:dyDescent="0.35">
      <c r="A17" s="169"/>
      <c r="B17" s="246"/>
      <c r="C17" s="361">
        <f>VLOOKUP(ship_type,fitgoodunderway,4,FALSE)</f>
        <v>1</v>
      </c>
      <c r="D17" s="265" t="b">
        <v>0</v>
      </c>
      <c r="E17" s="81">
        <f t="shared" ref="E17" si="5">E15*0.75</f>
        <v>7.5</v>
      </c>
      <c r="F17" s="184">
        <f t="shared" si="0"/>
        <v>0</v>
      </c>
      <c r="G17" s="317"/>
      <c r="I17">
        <f t="shared" si="1"/>
        <v>0</v>
      </c>
      <c r="J17">
        <f>SUM(I15:I17)</f>
        <v>0</v>
      </c>
    </row>
    <row r="18" spans="1:18" ht="15.75" customHeight="1" x14ac:dyDescent="0.35">
      <c r="A18" s="160" t="s">
        <v>431</v>
      </c>
      <c r="B18" s="278" t="s">
        <v>79</v>
      </c>
      <c r="C18" s="362">
        <f>VLOOKUP(ship_type,fitbestunderway,5,FALSE)</f>
        <v>90</v>
      </c>
      <c r="D18" s="265" t="b">
        <v>0</v>
      </c>
      <c r="E18" s="81">
        <v>10</v>
      </c>
      <c r="F18" s="184">
        <f t="shared" si="0"/>
        <v>0</v>
      </c>
      <c r="G18" s="317"/>
      <c r="I18">
        <f>IF(D18,1,0)</f>
        <v>0</v>
      </c>
    </row>
    <row r="19" spans="1:18" ht="15.75" customHeight="1" x14ac:dyDescent="0.35">
      <c r="A19" s="267"/>
      <c r="B19" s="275"/>
      <c r="C19" s="360">
        <f>VLOOKUP(ship_type,fitbetterunderway,5,FALSE)</f>
        <v>70</v>
      </c>
      <c r="D19" s="265" t="b">
        <v>0</v>
      </c>
      <c r="E19" s="81">
        <f t="shared" ref="E19" si="6">0.85*E18</f>
        <v>8.5</v>
      </c>
      <c r="F19" s="184">
        <f t="shared" si="0"/>
        <v>0</v>
      </c>
      <c r="G19" s="317"/>
      <c r="H19" t="str">
        <f>IF(J20&gt;1,"Entry error, select one answer","")</f>
        <v/>
      </c>
      <c r="I19">
        <f t="shared" si="1"/>
        <v>0</v>
      </c>
    </row>
    <row r="20" spans="1:18" ht="15.75" customHeight="1" thickBot="1" x14ac:dyDescent="0.4">
      <c r="A20" s="267"/>
      <c r="B20" s="246"/>
      <c r="C20" s="361">
        <f>VLOOKUP(ship_type,fitgoodunderway,5,FALSE)</f>
        <v>50</v>
      </c>
      <c r="D20" s="265" t="b">
        <v>0</v>
      </c>
      <c r="E20" s="81">
        <f t="shared" ref="E20" si="7">E18*0.75</f>
        <v>7.5</v>
      </c>
      <c r="F20" s="184">
        <f t="shared" si="0"/>
        <v>0</v>
      </c>
      <c r="G20" s="317"/>
      <c r="I20">
        <f t="shared" si="1"/>
        <v>0</v>
      </c>
      <c r="J20">
        <f>SUM(I18:I20)</f>
        <v>0</v>
      </c>
    </row>
    <row r="21" spans="1:18" ht="17.25" customHeight="1" thickTop="1" thickBot="1" x14ac:dyDescent="0.4">
      <c r="A21" s="390"/>
      <c r="B21" s="391"/>
      <c r="C21" s="391"/>
      <c r="D21" s="392"/>
      <c r="E21" s="81"/>
      <c r="G21" s="480"/>
      <c r="H21" s="174"/>
      <c r="I21" s="229"/>
      <c r="J21" s="229"/>
      <c r="K21" s="174"/>
      <c r="L21" s="174"/>
      <c r="M21" s="174"/>
      <c r="N21" s="174"/>
      <c r="O21" s="174"/>
      <c r="P21" s="174"/>
      <c r="Q21" s="174"/>
      <c r="R21" s="174"/>
    </row>
    <row r="22" spans="1:18" ht="22.5" customHeight="1" thickBot="1" x14ac:dyDescent="0.4">
      <c r="A22" s="160"/>
      <c r="B22" s="613" t="s">
        <v>277</v>
      </c>
      <c r="C22" s="613"/>
      <c r="D22" s="252">
        <f>F22/E22</f>
        <v>0</v>
      </c>
      <c r="E22" s="81">
        <f>IF(shiptypenum&lt;5,SUM(#REF!+E18+E15+E12+E9),SUM(E18+E15+E12+E9))</f>
        <v>40</v>
      </c>
      <c r="F22" s="184">
        <f>SUM(F9:F20)</f>
        <v>0</v>
      </c>
      <c r="G22" s="480"/>
      <c r="H22" s="174"/>
      <c r="I22" s="229"/>
      <c r="J22" s="229"/>
      <c r="K22" s="174"/>
      <c r="L22" s="174"/>
      <c r="M22" s="174"/>
      <c r="N22" s="174"/>
      <c r="O22" s="174"/>
      <c r="P22" s="174"/>
      <c r="Q22" s="174"/>
      <c r="R22" s="174"/>
    </row>
    <row r="23" spans="1:18" ht="22.5" customHeight="1" thickBot="1" x14ac:dyDescent="0.4">
      <c r="A23" s="160"/>
      <c r="B23" s="268"/>
      <c r="C23" s="268"/>
      <c r="D23" s="276"/>
      <c r="E23" s="25"/>
      <c r="G23" s="480"/>
      <c r="H23" s="174"/>
      <c r="I23" s="229"/>
      <c r="J23" s="229"/>
      <c r="K23" s="174"/>
      <c r="L23" s="174"/>
      <c r="M23" s="174"/>
      <c r="N23" s="174"/>
      <c r="O23" s="174"/>
      <c r="P23" s="174"/>
      <c r="Q23" s="174"/>
      <c r="R23" s="174"/>
    </row>
    <row r="24" spans="1:18" ht="94.5" customHeight="1" thickTop="1" thickBot="1" x14ac:dyDescent="0.4">
      <c r="A24" s="257" t="s">
        <v>172</v>
      </c>
      <c r="B24" s="610" t="s">
        <v>288</v>
      </c>
      <c r="C24" s="611"/>
      <c r="D24" s="462" t="s">
        <v>26</v>
      </c>
      <c r="E24" s="562" t="s">
        <v>24</v>
      </c>
      <c r="F24" s="184" t="s">
        <v>25</v>
      </c>
      <c r="G24" s="317"/>
    </row>
    <row r="25" spans="1:18" ht="82.5" customHeight="1" thickTop="1" thickBot="1" x14ac:dyDescent="0.4">
      <c r="A25" s="267"/>
      <c r="B25" s="595" t="s">
        <v>466</v>
      </c>
      <c r="C25" s="620"/>
      <c r="D25" s="454" t="s">
        <v>269</v>
      </c>
      <c r="E25" s="165"/>
      <c r="G25" s="466"/>
    </row>
    <row r="26" spans="1:18" x14ac:dyDescent="0.35">
      <c r="A26" s="160" t="s">
        <v>432</v>
      </c>
      <c r="B26" s="195" t="s">
        <v>165</v>
      </c>
      <c r="C26" s="360">
        <f>VLOOKUP(ship_type,fitbesthomeport,2,FALSE)</f>
        <v>4</v>
      </c>
      <c r="D26" s="265" t="b">
        <v>0</v>
      </c>
      <c r="E26" s="81">
        <v>10</v>
      </c>
      <c r="F26" s="184">
        <f>IF(D26,IF(C26="-",0,E26),0)</f>
        <v>0</v>
      </c>
      <c r="G26" s="317"/>
      <c r="I26">
        <f>IF(D26,1,0)</f>
        <v>0</v>
      </c>
    </row>
    <row r="27" spans="1:18" ht="15.75" customHeight="1" x14ac:dyDescent="0.35">
      <c r="A27" s="160"/>
      <c r="B27" s="58"/>
      <c r="C27" s="360">
        <f>VLOOKUP(ship_type,fitbetterhomeport,2,FALSE)</f>
        <v>3</v>
      </c>
      <c r="D27" s="265" t="b">
        <v>0</v>
      </c>
      <c r="E27" s="81">
        <f>0.85*E26</f>
        <v>8.5</v>
      </c>
      <c r="F27" s="184">
        <f t="shared" ref="F27:F40" si="8">IF(D27,IF(C27="-",0,E27),0)</f>
        <v>0</v>
      </c>
      <c r="G27" s="317"/>
      <c r="H27" t="str">
        <f>IF(J28&gt;1,"Entry error, select one answer","")</f>
        <v/>
      </c>
      <c r="I27">
        <f t="shared" ref="I27:I28" si="9">IF(D27,1,0)</f>
        <v>0</v>
      </c>
    </row>
    <row r="28" spans="1:18" ht="15.75" customHeight="1" x14ac:dyDescent="0.35">
      <c r="A28" s="160"/>
      <c r="B28" s="256"/>
      <c r="C28" s="361">
        <f>VLOOKUP(ship_type,fitgoodhomeport,2,FALSE)</f>
        <v>2</v>
      </c>
      <c r="D28" s="265" t="b">
        <v>0</v>
      </c>
      <c r="E28" s="81">
        <f>E26*0.75</f>
        <v>7.5</v>
      </c>
      <c r="F28" s="184">
        <f t="shared" si="8"/>
        <v>0</v>
      </c>
      <c r="G28" s="317"/>
      <c r="I28">
        <f t="shared" si="9"/>
        <v>0</v>
      </c>
      <c r="J28">
        <f>SUM(I26:I28)</f>
        <v>0</v>
      </c>
    </row>
    <row r="29" spans="1:18" ht="15.75" customHeight="1" x14ac:dyDescent="0.35">
      <c r="A29" s="160" t="s">
        <v>433</v>
      </c>
      <c r="B29" s="195" t="s">
        <v>166</v>
      </c>
      <c r="C29" s="362">
        <f>VLOOKUP(ship_type,fitbesthomeport,3,FALSE)</f>
        <v>1</v>
      </c>
      <c r="D29" s="265" t="b">
        <v>0</v>
      </c>
      <c r="E29" s="81">
        <v>10</v>
      </c>
      <c r="F29" s="184">
        <f t="shared" si="8"/>
        <v>0</v>
      </c>
      <c r="G29" s="317"/>
      <c r="I29">
        <f>IF(D29,1,0)</f>
        <v>0</v>
      </c>
    </row>
    <row r="30" spans="1:18" ht="15.75" customHeight="1" x14ac:dyDescent="0.35">
      <c r="A30" s="169"/>
      <c r="B30" s="172"/>
      <c r="C30" s="362" t="str">
        <f>VLOOKUP(ship_type,fitbetterhomeport,3,FALSE)</f>
        <v>-</v>
      </c>
      <c r="D30" s="265" t="b">
        <v>0</v>
      </c>
      <c r="E30" s="81">
        <f t="shared" ref="E30" si="10">0.85*E29</f>
        <v>8.5</v>
      </c>
      <c r="F30" s="184">
        <f t="shared" si="8"/>
        <v>0</v>
      </c>
      <c r="G30" s="317"/>
      <c r="H30" t="str">
        <f>IF(J31&gt;1,"Entry error, select one answer","")</f>
        <v/>
      </c>
      <c r="I30">
        <f t="shared" ref="I30:I31" si="11">IF(D30,1,0)</f>
        <v>0</v>
      </c>
    </row>
    <row r="31" spans="1:18" ht="15.75" customHeight="1" x14ac:dyDescent="0.35">
      <c r="A31" s="169"/>
      <c r="B31" s="246"/>
      <c r="C31" s="361" t="str">
        <f>VLOOKUP(ship_type,fitgoodhomeport,3,FALSE)</f>
        <v>-</v>
      </c>
      <c r="D31" s="265" t="b">
        <v>0</v>
      </c>
      <c r="E31" s="81">
        <f t="shared" ref="E31" si="12">E29*0.75</f>
        <v>7.5</v>
      </c>
      <c r="F31" s="184">
        <f t="shared" si="8"/>
        <v>0</v>
      </c>
      <c r="G31" s="317"/>
      <c r="I31">
        <f t="shared" si="11"/>
        <v>0</v>
      </c>
      <c r="J31">
        <f>SUM(I29:I31)</f>
        <v>0</v>
      </c>
    </row>
    <row r="32" spans="1:18" ht="15.75" customHeight="1" x14ac:dyDescent="0.35">
      <c r="A32" s="160" t="s">
        <v>434</v>
      </c>
      <c r="B32" s="195" t="s">
        <v>97</v>
      </c>
      <c r="C32" s="362">
        <f>VLOOKUP(ship_type,fitbesthomeport,4,FALSE)</f>
        <v>6</v>
      </c>
      <c r="D32" s="265" t="b">
        <v>0</v>
      </c>
      <c r="E32" s="81">
        <v>10</v>
      </c>
      <c r="F32" s="184">
        <f t="shared" si="8"/>
        <v>0</v>
      </c>
      <c r="G32" s="317"/>
      <c r="I32">
        <f>IF(D32,1,0)</f>
        <v>0</v>
      </c>
    </row>
    <row r="33" spans="1:18" ht="15.75" customHeight="1" x14ac:dyDescent="0.35">
      <c r="A33" s="169"/>
      <c r="B33" s="170"/>
      <c r="C33" s="362">
        <f>VLOOKUP(ship_type,fitbetterhomeport,4,FALSE)</f>
        <v>4</v>
      </c>
      <c r="D33" s="265" t="b">
        <v>0</v>
      </c>
      <c r="E33" s="81">
        <f t="shared" ref="E33" si="13">0.85*E32</f>
        <v>8.5</v>
      </c>
      <c r="F33" s="184">
        <f t="shared" si="8"/>
        <v>0</v>
      </c>
      <c r="G33" s="317"/>
      <c r="H33" t="str">
        <f>IF(J34&gt;1,"Entry error, select one answer","")</f>
        <v/>
      </c>
      <c r="I33">
        <f t="shared" ref="I33:I34" si="14">IF(D33,1,0)</f>
        <v>0</v>
      </c>
    </row>
    <row r="34" spans="1:18" ht="15.75" customHeight="1" x14ac:dyDescent="0.35">
      <c r="A34" s="169"/>
      <c r="B34" s="246"/>
      <c r="C34" s="361">
        <f>VLOOKUP(ship_type,fitgoodhomeport,4,FALSE)</f>
        <v>1</v>
      </c>
      <c r="D34" s="265" t="b">
        <v>0</v>
      </c>
      <c r="E34" s="81">
        <f t="shared" ref="E34" si="15">E32*0.75</f>
        <v>7.5</v>
      </c>
      <c r="F34" s="184">
        <f t="shared" si="8"/>
        <v>0</v>
      </c>
      <c r="G34" s="317"/>
      <c r="I34">
        <f t="shared" si="14"/>
        <v>0</v>
      </c>
      <c r="J34">
        <f>SUM(I32:I34)</f>
        <v>0</v>
      </c>
    </row>
    <row r="35" spans="1:18" ht="15.75" customHeight="1" x14ac:dyDescent="0.35">
      <c r="A35" s="160" t="s">
        <v>435</v>
      </c>
      <c r="B35" s="195" t="s">
        <v>79</v>
      </c>
      <c r="C35" s="362">
        <f>VLOOKUP(ship_type,fitbesthomeport,5,FALSE)</f>
        <v>30</v>
      </c>
      <c r="D35" s="265" t="b">
        <v>0</v>
      </c>
      <c r="E35" s="81">
        <v>10</v>
      </c>
      <c r="F35" s="184">
        <f t="shared" si="8"/>
        <v>0</v>
      </c>
      <c r="G35" s="317"/>
      <c r="I35">
        <f>IF(D35,1,0)</f>
        <v>0</v>
      </c>
    </row>
    <row r="36" spans="1:18" ht="15.75" customHeight="1" x14ac:dyDescent="0.35">
      <c r="A36" s="267"/>
      <c r="B36" s="171"/>
      <c r="C36" s="360">
        <f>VLOOKUP(ship_type,fitbetterhomeport,5,FALSE)</f>
        <v>25</v>
      </c>
      <c r="D36" s="265" t="b">
        <v>0</v>
      </c>
      <c r="E36" s="81">
        <f t="shared" ref="E36" si="16">0.85*E35</f>
        <v>8.5</v>
      </c>
      <c r="F36" s="184">
        <f t="shared" si="8"/>
        <v>0</v>
      </c>
      <c r="G36" s="317"/>
      <c r="H36" t="str">
        <f>IF(J37&gt;1,"Entry error, select one answer","")</f>
        <v/>
      </c>
      <c r="I36">
        <f t="shared" ref="I36:I37" si="17">IF(D36,1,0)</f>
        <v>0</v>
      </c>
    </row>
    <row r="37" spans="1:18" ht="15.75" customHeight="1" x14ac:dyDescent="0.35">
      <c r="A37" s="267"/>
      <c r="B37" s="246"/>
      <c r="C37" s="361">
        <f>VLOOKUP(ship_type,fitgoodhomeport,5,FALSE)</f>
        <v>20</v>
      </c>
      <c r="D37" s="265" t="b">
        <v>0</v>
      </c>
      <c r="E37" s="81">
        <f t="shared" ref="E37" si="18">E35*0.75</f>
        <v>7.5</v>
      </c>
      <c r="F37" s="184">
        <f t="shared" si="8"/>
        <v>0</v>
      </c>
      <c r="G37" s="317"/>
      <c r="I37">
        <f t="shared" si="17"/>
        <v>0</v>
      </c>
      <c r="J37">
        <f>SUM(I35:I37)</f>
        <v>0</v>
      </c>
    </row>
    <row r="38" spans="1:18" x14ac:dyDescent="0.35">
      <c r="A38" s="160" t="s">
        <v>436</v>
      </c>
      <c r="B38" s="195" t="s">
        <v>176</v>
      </c>
      <c r="C38" s="271" t="s">
        <v>177</v>
      </c>
      <c r="D38" s="265" t="b">
        <v>0</v>
      </c>
      <c r="E38" s="81">
        <v>10</v>
      </c>
      <c r="F38" s="184">
        <f t="shared" si="8"/>
        <v>0</v>
      </c>
      <c r="G38" s="317"/>
      <c r="I38">
        <f>IF(D38,1,0)</f>
        <v>0</v>
      </c>
    </row>
    <row r="39" spans="1:18" x14ac:dyDescent="0.35">
      <c r="A39" s="267"/>
      <c r="B39" s="173"/>
      <c r="C39" s="185" t="s">
        <v>178</v>
      </c>
      <c r="D39" s="265" t="b">
        <v>0</v>
      </c>
      <c r="E39" s="81">
        <f t="shared" ref="E39" si="19">0.85*E38</f>
        <v>8.5</v>
      </c>
      <c r="F39" s="184">
        <f t="shared" si="8"/>
        <v>0</v>
      </c>
      <c r="G39" s="317"/>
      <c r="H39" t="str">
        <f>IF(J40&gt;1,"Entry error, select one answer","")</f>
        <v/>
      </c>
      <c r="I39">
        <f t="shared" ref="I39:I40" si="20">IF(D39,1,0)</f>
        <v>0</v>
      </c>
    </row>
    <row r="40" spans="1:18" ht="16" thickBot="1" x14ac:dyDescent="0.4">
      <c r="A40" s="267"/>
      <c r="B40" s="171"/>
      <c r="C40" s="185" t="s">
        <v>179</v>
      </c>
      <c r="D40" s="395" t="b">
        <v>0</v>
      </c>
      <c r="E40" s="81">
        <f t="shared" ref="E40" si="21">E38*0.75</f>
        <v>7.5</v>
      </c>
      <c r="F40" s="184">
        <f t="shared" si="8"/>
        <v>0</v>
      </c>
      <c r="G40" s="317"/>
      <c r="I40">
        <f t="shared" si="20"/>
        <v>0</v>
      </c>
      <c r="J40">
        <f>SUM(I38:I40)</f>
        <v>0</v>
      </c>
    </row>
    <row r="41" spans="1:18" ht="17.25" customHeight="1" thickTop="1" thickBot="1" x14ac:dyDescent="0.4">
      <c r="A41" s="390"/>
      <c r="B41" s="391"/>
      <c r="C41" s="391"/>
      <c r="D41" s="392"/>
      <c r="E41" s="81"/>
      <c r="G41" s="480"/>
      <c r="H41" s="174"/>
      <c r="I41" s="229"/>
      <c r="J41" s="229"/>
      <c r="K41" s="174"/>
      <c r="L41" s="174"/>
      <c r="M41" s="174"/>
      <c r="N41" s="174"/>
      <c r="O41" s="174"/>
      <c r="P41" s="174"/>
      <c r="Q41" s="174"/>
      <c r="R41" s="174"/>
    </row>
    <row r="42" spans="1:18" ht="22.5" customHeight="1" thickBot="1" x14ac:dyDescent="0.4">
      <c r="A42" s="160"/>
      <c r="B42" s="613" t="s">
        <v>277</v>
      </c>
      <c r="C42" s="613"/>
      <c r="D42" s="252">
        <f>F42/E42</f>
        <v>0</v>
      </c>
      <c r="E42" s="81">
        <f>E38+E35+E32+E29+E26</f>
        <v>50</v>
      </c>
      <c r="F42" s="184">
        <f>SUM(F26:F40)</f>
        <v>0</v>
      </c>
      <c r="G42" s="480"/>
      <c r="H42" s="174"/>
      <c r="I42" s="229"/>
      <c r="J42" s="229"/>
      <c r="K42" s="174"/>
      <c r="L42" s="174"/>
      <c r="M42" s="174"/>
      <c r="N42" s="174"/>
      <c r="O42" s="174"/>
      <c r="P42" s="174"/>
      <c r="Q42" s="174"/>
      <c r="R42" s="174"/>
    </row>
    <row r="43" spans="1:18" ht="22.5" customHeight="1" thickBot="1" x14ac:dyDescent="0.4">
      <c r="A43" s="160"/>
      <c r="B43" s="268"/>
      <c r="C43" s="268"/>
      <c r="D43" s="276"/>
      <c r="E43" s="25"/>
      <c r="G43" s="480"/>
      <c r="H43" s="174"/>
      <c r="I43" s="229"/>
      <c r="J43" s="229"/>
      <c r="K43" s="174"/>
      <c r="L43" s="174"/>
      <c r="M43" s="174"/>
      <c r="N43" s="174"/>
      <c r="O43" s="174"/>
      <c r="P43" s="174"/>
      <c r="Q43" s="174"/>
      <c r="R43" s="174"/>
    </row>
    <row r="44" spans="1:18" ht="94.5" customHeight="1" thickTop="1" thickBot="1" x14ac:dyDescent="0.4">
      <c r="A44" s="257" t="s">
        <v>173</v>
      </c>
      <c r="B44" s="610" t="s">
        <v>288</v>
      </c>
      <c r="C44" s="611"/>
      <c r="D44" s="462" t="s">
        <v>26</v>
      </c>
      <c r="E44" s="562" t="s">
        <v>24</v>
      </c>
      <c r="F44" s="184" t="s">
        <v>25</v>
      </c>
      <c r="G44" s="317"/>
    </row>
    <row r="45" spans="1:18" ht="78.75" customHeight="1" thickTop="1" thickBot="1" x14ac:dyDescent="0.4">
      <c r="A45" s="280"/>
      <c r="B45" s="595" t="s">
        <v>466</v>
      </c>
      <c r="C45" s="620"/>
      <c r="D45" s="454" t="s">
        <v>269</v>
      </c>
      <c r="E45" s="165"/>
      <c r="G45" s="466"/>
    </row>
    <row r="46" spans="1:18" x14ac:dyDescent="0.35">
      <c r="A46" s="160" t="s">
        <v>437</v>
      </c>
      <c r="B46" s="270" t="s">
        <v>165</v>
      </c>
      <c r="C46" s="360">
        <f>VLOOKUP(ship_type,fitbestshipyard,2,FALSE)</f>
        <v>2</v>
      </c>
      <c r="D46" s="265" t="b">
        <v>0</v>
      </c>
      <c r="E46" s="81">
        <v>10</v>
      </c>
      <c r="F46" s="184">
        <f>IF(D46,IF(C46="-",0,E46),0)</f>
        <v>0</v>
      </c>
      <c r="G46" s="317"/>
      <c r="I46">
        <f>IF(D46,1,0)</f>
        <v>0</v>
      </c>
    </row>
    <row r="47" spans="1:18" ht="15.75" customHeight="1" x14ac:dyDescent="0.35">
      <c r="A47" s="160"/>
      <c r="B47" s="58"/>
      <c r="C47" s="360">
        <f>VLOOKUP(ship_type,fitbettershipyard,2,FALSE)</f>
        <v>1</v>
      </c>
      <c r="D47" s="265" t="b">
        <v>0</v>
      </c>
      <c r="E47" s="81">
        <f>0.85*E46</f>
        <v>8.5</v>
      </c>
      <c r="F47" s="184">
        <f t="shared" ref="F47:F60" si="22">IF(D47,IF(C47="-",0,E47),0)</f>
        <v>0</v>
      </c>
      <c r="G47" s="317"/>
      <c r="H47" t="str">
        <f>IF(J48&gt;1,"Entry error, select one answer","")</f>
        <v/>
      </c>
      <c r="I47">
        <f t="shared" ref="I47:I48" si="23">IF(D47,1,0)</f>
        <v>0</v>
      </c>
    </row>
    <row r="48" spans="1:18" ht="15.75" customHeight="1" x14ac:dyDescent="0.35">
      <c r="A48" s="160"/>
      <c r="B48" s="256"/>
      <c r="C48" s="361" t="str">
        <f>VLOOKUP(ship_type,fitgoodshipyard,2,FALSE)</f>
        <v>-</v>
      </c>
      <c r="D48" s="265" t="b">
        <v>0</v>
      </c>
      <c r="E48" s="81">
        <f>E46*0.75</f>
        <v>7.5</v>
      </c>
      <c r="F48" s="184">
        <f t="shared" si="22"/>
        <v>0</v>
      </c>
      <c r="G48" s="317"/>
      <c r="I48">
        <f t="shared" si="23"/>
        <v>0</v>
      </c>
      <c r="J48">
        <f>SUM(I46:I48)</f>
        <v>0</v>
      </c>
    </row>
    <row r="49" spans="1:10" ht="15.75" customHeight="1" x14ac:dyDescent="0.35">
      <c r="A49" s="160" t="s">
        <v>438</v>
      </c>
      <c r="B49" s="195" t="s">
        <v>166</v>
      </c>
      <c r="C49" s="362">
        <f>VLOOKUP(ship_type,fitbestshipyard,3,FALSE)</f>
        <v>2</v>
      </c>
      <c r="D49" s="265" t="b">
        <v>0</v>
      </c>
      <c r="E49" s="81">
        <v>10</v>
      </c>
      <c r="F49" s="184">
        <f t="shared" si="22"/>
        <v>0</v>
      </c>
      <c r="G49" s="317"/>
      <c r="I49">
        <f>IF(D49,1,0)</f>
        <v>0</v>
      </c>
    </row>
    <row r="50" spans="1:10" ht="15.75" customHeight="1" x14ac:dyDescent="0.35">
      <c r="A50" s="169"/>
      <c r="B50" s="172"/>
      <c r="C50" s="362">
        <f>VLOOKUP(ship_type,fitbettershipyard,3,FALSE)</f>
        <v>1</v>
      </c>
      <c r="D50" s="265" t="b">
        <v>0</v>
      </c>
      <c r="E50" s="81">
        <f t="shared" ref="E50" si="24">0.85*E49</f>
        <v>8.5</v>
      </c>
      <c r="F50" s="184">
        <f t="shared" si="22"/>
        <v>0</v>
      </c>
      <c r="G50" s="317"/>
      <c r="H50" t="str">
        <f>IF(J51&gt;1,"Entry error, select one answer","")</f>
        <v/>
      </c>
      <c r="I50">
        <f t="shared" ref="I50:I51" si="25">IF(D50,1,0)</f>
        <v>0</v>
      </c>
    </row>
    <row r="51" spans="1:10" ht="15.75" customHeight="1" x14ac:dyDescent="0.35">
      <c r="A51" s="169"/>
      <c r="B51" s="246"/>
      <c r="C51" s="361" t="str">
        <f>VLOOKUP(ship_type,fitgoodshipyard,3,FALSE)</f>
        <v>-</v>
      </c>
      <c r="D51" s="265" t="b">
        <v>0</v>
      </c>
      <c r="E51" s="81">
        <f t="shared" ref="E51" si="26">E49*0.75</f>
        <v>7.5</v>
      </c>
      <c r="F51" s="184">
        <f t="shared" si="22"/>
        <v>0</v>
      </c>
      <c r="G51" s="317"/>
      <c r="I51">
        <f t="shared" si="25"/>
        <v>0</v>
      </c>
      <c r="J51">
        <f>SUM(I49:I51)</f>
        <v>0</v>
      </c>
    </row>
    <row r="52" spans="1:10" ht="15.75" customHeight="1" x14ac:dyDescent="0.35">
      <c r="A52" s="160" t="s">
        <v>439</v>
      </c>
      <c r="B52" s="195" t="s">
        <v>97</v>
      </c>
      <c r="C52" s="362">
        <f>VLOOKUP(ship_type,fitbestshipyard,4,FALSE)</f>
        <v>3</v>
      </c>
      <c r="D52" s="265" t="b">
        <v>0</v>
      </c>
      <c r="E52" s="81">
        <v>10</v>
      </c>
      <c r="F52" s="184">
        <f t="shared" si="22"/>
        <v>0</v>
      </c>
      <c r="G52" s="317"/>
      <c r="I52">
        <f>IF(D52,1,0)</f>
        <v>0</v>
      </c>
    </row>
    <row r="53" spans="1:10" ht="15.75" customHeight="1" x14ac:dyDescent="0.35">
      <c r="A53" s="169"/>
      <c r="B53" s="170"/>
      <c r="C53" s="362">
        <f>VLOOKUP(ship_type,fitbettershipyard,4,FALSE)</f>
        <v>2</v>
      </c>
      <c r="D53" s="265" t="b">
        <v>0</v>
      </c>
      <c r="E53" s="81">
        <f t="shared" ref="E53" si="27">0.85*E52</f>
        <v>8.5</v>
      </c>
      <c r="F53" s="184">
        <f t="shared" si="22"/>
        <v>0</v>
      </c>
      <c r="G53" s="317"/>
      <c r="H53" t="str">
        <f>IF(J54&gt;1,"Entry error, select one answer","")</f>
        <v/>
      </c>
      <c r="I53">
        <f t="shared" ref="I53:I54" si="28">IF(D53,1,0)</f>
        <v>0</v>
      </c>
    </row>
    <row r="54" spans="1:10" ht="15.75" customHeight="1" x14ac:dyDescent="0.35">
      <c r="A54" s="169"/>
      <c r="B54" s="246"/>
      <c r="C54" s="361">
        <f>VLOOKUP(ship_type,fitgoodshipyard,4,FALSE)</f>
        <v>1</v>
      </c>
      <c r="D54" s="265" t="b">
        <v>0</v>
      </c>
      <c r="E54" s="81">
        <f t="shared" ref="E54" si="29">E52*0.75</f>
        <v>7.5</v>
      </c>
      <c r="F54" s="184">
        <f t="shared" si="22"/>
        <v>0</v>
      </c>
      <c r="G54" s="317"/>
      <c r="I54">
        <f t="shared" si="28"/>
        <v>0</v>
      </c>
      <c r="J54">
        <f>SUM(I52:I54)</f>
        <v>0</v>
      </c>
    </row>
    <row r="55" spans="1:10" ht="15.75" customHeight="1" x14ac:dyDescent="0.35">
      <c r="A55" s="160" t="s">
        <v>440</v>
      </c>
      <c r="B55" s="195" t="s">
        <v>79</v>
      </c>
      <c r="C55" s="362">
        <f>VLOOKUP(ship_type,fitbestshipyard,5,FALSE)</f>
        <v>15</v>
      </c>
      <c r="D55" s="265" t="b">
        <v>0</v>
      </c>
      <c r="E55" s="81">
        <v>10</v>
      </c>
      <c r="F55" s="184">
        <f t="shared" si="22"/>
        <v>0</v>
      </c>
      <c r="G55" s="317"/>
      <c r="I55">
        <f>IF(D55,1,0)</f>
        <v>0</v>
      </c>
    </row>
    <row r="56" spans="1:10" ht="15.75" customHeight="1" x14ac:dyDescent="0.35">
      <c r="A56" s="267"/>
      <c r="B56" s="171"/>
      <c r="C56" s="360">
        <f>VLOOKUP(ship_type,fitbettershipyard,5,FALSE)</f>
        <v>10</v>
      </c>
      <c r="D56" s="265" t="b">
        <v>0</v>
      </c>
      <c r="E56" s="81">
        <f t="shared" ref="E56" si="30">0.85*E55</f>
        <v>8.5</v>
      </c>
      <c r="F56" s="184">
        <f t="shared" si="22"/>
        <v>0</v>
      </c>
      <c r="G56" s="317"/>
      <c r="H56" t="str">
        <f>IF(J57&gt;1,"Entry error, select one answer","")</f>
        <v/>
      </c>
      <c r="I56">
        <f t="shared" ref="I56:I57" si="31">IF(D56,1,0)</f>
        <v>0</v>
      </c>
    </row>
    <row r="57" spans="1:10" ht="15.75" customHeight="1" x14ac:dyDescent="0.35">
      <c r="A57" s="267"/>
      <c r="B57" s="246"/>
      <c r="C57" s="361">
        <f>VLOOKUP(ship_type,fitgoodshipyard,5,FALSE)</f>
        <v>5</v>
      </c>
      <c r="D57" s="265" t="b">
        <v>0</v>
      </c>
      <c r="E57" s="81">
        <f t="shared" ref="E57" si="32">E55*0.75</f>
        <v>7.5</v>
      </c>
      <c r="F57" s="184">
        <f t="shared" si="22"/>
        <v>0</v>
      </c>
      <c r="G57" s="317"/>
      <c r="I57">
        <f t="shared" si="31"/>
        <v>0</v>
      </c>
      <c r="J57">
        <f>SUM(I55:I57)</f>
        <v>0</v>
      </c>
    </row>
    <row r="58" spans="1:10" x14ac:dyDescent="0.35">
      <c r="A58" s="160" t="s">
        <v>441</v>
      </c>
      <c r="B58" s="195" t="s">
        <v>176</v>
      </c>
      <c r="C58" s="185" t="s">
        <v>177</v>
      </c>
      <c r="D58" s="265" t="b">
        <v>0</v>
      </c>
      <c r="E58" s="81">
        <v>10</v>
      </c>
      <c r="F58" s="184">
        <f t="shared" si="22"/>
        <v>0</v>
      </c>
      <c r="G58" s="317"/>
      <c r="I58">
        <f>IF(D58,1,0)</f>
        <v>0</v>
      </c>
    </row>
    <row r="59" spans="1:10" x14ac:dyDescent="0.35">
      <c r="A59" s="267"/>
      <c r="B59" s="173"/>
      <c r="C59" s="185" t="s">
        <v>178</v>
      </c>
      <c r="D59" s="265" t="b">
        <v>0</v>
      </c>
      <c r="E59" s="81">
        <f t="shared" ref="E59" si="33">0.85*E58</f>
        <v>8.5</v>
      </c>
      <c r="F59" s="184">
        <f t="shared" si="22"/>
        <v>0</v>
      </c>
      <c r="G59" s="317"/>
      <c r="H59" t="str">
        <f>IF(J60&gt;1,"Entry error, select one answer","")</f>
        <v/>
      </c>
      <c r="I59">
        <f t="shared" ref="I59:I60" si="34">IF(D59,1,0)</f>
        <v>0</v>
      </c>
    </row>
    <row r="60" spans="1:10" ht="16" thickBot="1" x14ac:dyDescent="0.4">
      <c r="A60" s="267"/>
      <c r="B60" s="171"/>
      <c r="C60" s="185" t="s">
        <v>179</v>
      </c>
      <c r="D60" s="395" t="b">
        <v>0</v>
      </c>
      <c r="E60" s="81">
        <f t="shared" ref="E60" si="35">E58*0.75</f>
        <v>7.5</v>
      </c>
      <c r="F60" s="184">
        <f t="shared" si="22"/>
        <v>0</v>
      </c>
      <c r="G60" s="317"/>
      <c r="I60">
        <f t="shared" si="34"/>
        <v>0</v>
      </c>
      <c r="J60">
        <f>SUM(I58:I60)</f>
        <v>0</v>
      </c>
    </row>
    <row r="61" spans="1:10" ht="16.5" thickTop="1" thickBot="1" x14ac:dyDescent="0.4">
      <c r="A61" s="388"/>
      <c r="B61" s="388"/>
      <c r="C61" s="388"/>
      <c r="D61" s="396"/>
      <c r="G61" s="481"/>
    </row>
    <row r="62" spans="1:10" s="190" customFormat="1" ht="16" thickBot="1" x14ac:dyDescent="0.4">
      <c r="A62" s="181"/>
      <c r="B62" s="623" t="s">
        <v>32</v>
      </c>
      <c r="C62" s="624"/>
      <c r="D62" s="252">
        <f>F62/E62</f>
        <v>0</v>
      </c>
      <c r="E62" s="189">
        <f>E58+E55+E52+E49+E46</f>
        <v>50</v>
      </c>
      <c r="F62" s="189">
        <f>SUM(F46:F60)</f>
        <v>0</v>
      </c>
      <c r="G62" s="482"/>
    </row>
    <row r="63" spans="1:10" s="190" customFormat="1" ht="16.5" customHeight="1" x14ac:dyDescent="0.35">
      <c r="A63" s="181"/>
      <c r="B63" s="175"/>
      <c r="C63" s="40"/>
      <c r="D63" s="40"/>
      <c r="E63" s="189"/>
      <c r="F63" s="189"/>
      <c r="G63" s="482"/>
    </row>
    <row r="64" spans="1:10" s="190" customFormat="1" ht="16" thickBot="1" x14ac:dyDescent="0.4">
      <c r="A64" s="181"/>
      <c r="B64" s="175"/>
      <c r="C64" s="40"/>
      <c r="D64" s="40"/>
      <c r="E64" s="189"/>
      <c r="F64" s="189"/>
      <c r="G64" s="482"/>
    </row>
    <row r="65" spans="1:7" s="190" customFormat="1" ht="96.75" customHeight="1" thickBot="1" x14ac:dyDescent="0.4">
      <c r="A65" s="181"/>
      <c r="B65" s="618" t="s">
        <v>48</v>
      </c>
      <c r="C65" s="621"/>
      <c r="D65" s="622"/>
      <c r="E65" s="189"/>
      <c r="F65" s="189"/>
      <c r="G65" s="482"/>
    </row>
    <row r="66" spans="1:7" x14ac:dyDescent="0.35">
      <c r="G66" s="481"/>
    </row>
    <row r="67" spans="1:7" x14ac:dyDescent="0.35">
      <c r="G67" s="481"/>
    </row>
    <row r="68" spans="1:7" x14ac:dyDescent="0.35">
      <c r="B68" s="612" t="s">
        <v>282</v>
      </c>
      <c r="C68" s="612"/>
      <c r="D68" s="496">
        <f>D62+D42+D22</f>
        <v>0</v>
      </c>
      <c r="G68" s="481"/>
    </row>
    <row r="69" spans="1:7" x14ac:dyDescent="0.35">
      <c r="G69" s="481"/>
    </row>
    <row r="70" spans="1:7" x14ac:dyDescent="0.35">
      <c r="G70" s="481"/>
    </row>
  </sheetData>
  <mergeCells count="14">
    <mergeCell ref="B68:C68"/>
    <mergeCell ref="B65:D65"/>
    <mergeCell ref="B62:C62"/>
    <mergeCell ref="B45:C45"/>
    <mergeCell ref="B44:C44"/>
    <mergeCell ref="B42:C42"/>
    <mergeCell ref="B25:C25"/>
    <mergeCell ref="B22:C22"/>
    <mergeCell ref="B24:C24"/>
    <mergeCell ref="A3:B3"/>
    <mergeCell ref="B7:C7"/>
    <mergeCell ref="B8:C8"/>
    <mergeCell ref="A4:C4"/>
    <mergeCell ref="A5:C5"/>
  </mergeCells>
  <phoneticPr fontId="16" type="noConversion"/>
  <conditionalFormatting sqref="H10">
    <cfRule type="expression" dxfId="21" priority="15">
      <formula>J11&gt;1</formula>
    </cfRule>
  </conditionalFormatting>
  <conditionalFormatting sqref="H13">
    <cfRule type="expression" dxfId="20" priority="14">
      <formula>J14&gt;1</formula>
    </cfRule>
  </conditionalFormatting>
  <conditionalFormatting sqref="H16">
    <cfRule type="expression" dxfId="19" priority="13">
      <formula>J17&gt;1</formula>
    </cfRule>
  </conditionalFormatting>
  <conditionalFormatting sqref="H19">
    <cfRule type="expression" dxfId="18" priority="12">
      <formula>J20&gt;1</formula>
    </cfRule>
  </conditionalFormatting>
  <conditionalFormatting sqref="H27">
    <cfRule type="expression" dxfId="17" priority="10">
      <formula>J28&gt;1</formula>
    </cfRule>
  </conditionalFormatting>
  <conditionalFormatting sqref="H30">
    <cfRule type="expression" dxfId="16" priority="9">
      <formula>J31&gt;1</formula>
    </cfRule>
  </conditionalFormatting>
  <conditionalFormatting sqref="H33">
    <cfRule type="expression" dxfId="15" priority="8">
      <formula>J34&gt;1</formula>
    </cfRule>
  </conditionalFormatting>
  <conditionalFormatting sqref="H36">
    <cfRule type="expression" dxfId="14" priority="7">
      <formula>J37&gt;1</formula>
    </cfRule>
  </conditionalFormatting>
  <conditionalFormatting sqref="H39">
    <cfRule type="expression" dxfId="13" priority="6">
      <formula>J40&gt;1</formula>
    </cfRule>
  </conditionalFormatting>
  <conditionalFormatting sqref="H47">
    <cfRule type="expression" dxfId="12" priority="5">
      <formula>J48&gt;1</formula>
    </cfRule>
  </conditionalFormatting>
  <conditionalFormatting sqref="H50">
    <cfRule type="expression" dxfId="11" priority="4">
      <formula>J51&gt;1</formula>
    </cfRule>
  </conditionalFormatting>
  <conditionalFormatting sqref="H53">
    <cfRule type="expression" dxfId="10" priority="3">
      <formula>J54&gt;1</formula>
    </cfRule>
  </conditionalFormatting>
  <conditionalFormatting sqref="H56">
    <cfRule type="expression" dxfId="9" priority="2">
      <formula>J57&gt;1</formula>
    </cfRule>
  </conditionalFormatting>
  <conditionalFormatting sqref="H59">
    <cfRule type="expression" dxfId="8" priority="1">
      <formula>J60&gt;1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8" r:id="rId16" name="Check Box 16">
              <controlPr defaultSize="0" autoFill="0" autoLine="0" autoPict="0">
                <anchor moveWithCells="1">
                  <from>
                    <xdr:col>3</xdr:col>
                    <xdr:colOff>419100</xdr:colOff>
                    <xdr:row>25</xdr:row>
                    <xdr:rowOff>0</xdr:rowOff>
                  </from>
                  <to>
                    <xdr:col>3</xdr:col>
                    <xdr:colOff>609600</xdr:colOff>
                    <xdr:row>26</xdr:row>
                    <xdr:rowOff>12700</xdr:rowOff>
                  </to>
                </anchor>
              </controlPr>
            </control>
          </mc:Choice>
        </mc:AlternateContent>
        <mc:AlternateContent xmlns:mc="http://schemas.openxmlformats.org/markup-compatibility/2006">
          <mc:Choice Requires="x14">
            <control shapeId="54289" r:id="rId17" name="Check Box 1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54290" r:id="rId18" name="Check Box 1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54291" r:id="rId19" name="Check Box 19">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92" r:id="rId20" name="Check Box 20">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3" r:id="rId21" name="Check Box 21">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4" r:id="rId22" name="Check Box 22">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5" r:id="rId23" name="Check Box 23">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6" r:id="rId24" name="Check Box 2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7" r:id="rId25" name="Check Box 2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8" r:id="rId26" name="Check Box 26">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9" r:id="rId27" name="Check Box 27">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300" r:id="rId28" name="Check Box 28">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301" r:id="rId29" name="Check Box 29">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302" r:id="rId30" name="Check Box 30">
              <controlPr defaultSize="0" autoFill="0" autoLine="0" autoPict="0">
                <anchor moveWithCells="1">
                  <from>
                    <xdr:col>3</xdr:col>
                    <xdr:colOff>419100</xdr:colOff>
                    <xdr:row>39</xdr:row>
                    <xdr:rowOff>0</xdr:rowOff>
                  </from>
                  <to>
                    <xdr:col>3</xdr:col>
                    <xdr:colOff>609600</xdr:colOff>
                    <xdr:row>40</xdr:row>
                    <xdr:rowOff>0</xdr:rowOff>
                  </to>
                </anchor>
              </controlPr>
            </control>
          </mc:Choice>
        </mc:AlternateContent>
        <mc:AlternateContent xmlns:mc="http://schemas.openxmlformats.org/markup-compatibility/2006">
          <mc:Choice Requires="x14">
            <control shapeId="54303" r:id="rId31" name="Check Box 31">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4" r:id="rId32" name="Check Box 32">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5" r:id="rId33" name="Check Box 33">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6" r:id="rId34" name="Check Box 34">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7" r:id="rId35" name="Check Box 35">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8" r:id="rId36" name="Check Box 36">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09" r:id="rId37" name="Check Box 37">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0" r:id="rId38" name="Check Box 38">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1" r:id="rId39" name="Check Box 39">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2" r:id="rId40" name="Check Box 40">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3" r:id="rId41" name="Check Box 41">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4" r:id="rId42" name="Check Box 42">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5" r:id="rId43" name="Check Box 43">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6" r:id="rId44" name="Check Box 44">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7" r:id="rId45" name="Check Box 45">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8" r:id="rId46" name="Check Box 46">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19" r:id="rId47" name="Check Box 47">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0" r:id="rId48" name="Check Box 48">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1" r:id="rId49" name="Check Box 49">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2" r:id="rId50" name="Check Box 50">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3" r:id="rId51" name="Check Box 51">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4" r:id="rId52" name="Check Box 52">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5" r:id="rId53" name="Check Box 5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6" r:id="rId54" name="Check Box 54">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7" r:id="rId55" name="Check Box 55">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8" r:id="rId56" name="Check Box 56">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29" r:id="rId57" name="Check Box 57">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0" r:id="rId58" name="Check Box 58">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1" r:id="rId59" name="Check Box 59">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2" r:id="rId60" name="Check Box 60">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3" r:id="rId61" name="Check Box 61">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4" r:id="rId62" name="Check Box 62">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5" r:id="rId63" name="Check Box 6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6" r:id="rId64" name="Check Box 64">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7" r:id="rId65" name="Check Box 65">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8" r:id="rId66" name="Check Box 66">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39" r:id="rId67" name="Check Box 67">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0" r:id="rId68" name="Check Box 68">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1" r:id="rId69" name="Check Box 6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2" r:id="rId70" name="Check Box 70">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3" r:id="rId71" name="Check Box 71">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4" r:id="rId72" name="Check Box 72">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5" r:id="rId73" name="Check Box 73">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6" r:id="rId74" name="Check Box 74">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7" r:id="rId75" name="Check Box 75">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8" r:id="rId76" name="Check Box 76">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49" r:id="rId77" name="Check Box 77">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0" r:id="rId78" name="Check Box 78">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1" r:id="rId79" name="Check Box 79">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2" r:id="rId80" name="Check Box 80">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3" r:id="rId81" name="Check Box 81">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4" r:id="rId82"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5" r:id="rId83" name="Check Box 83">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6" r:id="rId84" name="Check Box 84">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7" r:id="rId85" name="Check Box 85">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8" r:id="rId86" name="Check Box 86">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59" r:id="rId87" name="Check Box 87">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0" r:id="rId88" name="Check Box 88">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1" r:id="rId89" name="Check Box 89">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2" r:id="rId90" name="Check Box 90">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3" r:id="rId91" name="Check Box 91">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4" r:id="rId92" name="Check Box 9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5" r:id="rId93" name="Check Box 93">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6" r:id="rId94" name="Check Box 9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7" r:id="rId95" name="Check Box 95">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8" r:id="rId96" name="Check Box 96">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69" r:id="rId97" name="Check Box 97">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0" r:id="rId98" name="Check Box 98">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1" r:id="rId99" name="Check Box 99">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2" r:id="rId100" name="Check Box 100">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3" r:id="rId101" name="Check Box 101">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4" r:id="rId102" name="Check Box 102">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5" r:id="rId103" name="Check Box 103">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6" r:id="rId104" name="Check Box 104">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7" r:id="rId105" name="Check Box 105">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6"/>
  <sheetViews>
    <sheetView zoomScaleNormal="100" workbookViewId="0">
      <selection activeCell="F7" sqref="F7:F24"/>
    </sheetView>
  </sheetViews>
  <sheetFormatPr defaultColWidth="9.1796875" defaultRowHeight="15.5" x14ac:dyDescent="0.35"/>
  <cols>
    <col min="1" max="1" width="11.26953125" style="189" customWidth="1"/>
    <col min="2" max="2" width="63.81640625" style="294" customWidth="1"/>
    <col min="3" max="3" width="15.26953125" style="40" customWidth="1"/>
    <col min="4" max="4" width="13.7265625" style="189" customWidth="1"/>
    <col min="5" max="5" width="12.7265625" style="189" customWidth="1"/>
    <col min="6" max="6" width="30.7265625" style="48" customWidth="1"/>
    <col min="7" max="8" width="13" style="140" customWidth="1"/>
    <col min="9" max="9" width="56.453125" style="140" customWidth="1"/>
    <col min="10" max="10" width="12.453125" style="140" customWidth="1"/>
    <col min="11" max="11" width="9.1796875" style="140"/>
    <col min="12" max="12" width="12.54296875" style="140" customWidth="1"/>
    <col min="13" max="13" width="16.26953125" style="140" customWidth="1"/>
    <col min="14" max="14" width="19.453125" style="140" customWidth="1"/>
    <col min="15" max="16384" width="9.1796875" style="140"/>
  </cols>
  <sheetData>
    <row r="1" spans="1:9" x14ac:dyDescent="0.35">
      <c r="A1" s="625" t="s">
        <v>197</v>
      </c>
      <c r="B1" s="625"/>
      <c r="C1" s="625"/>
      <c r="F1" s="463" t="s">
        <v>414</v>
      </c>
      <c r="G1" s="40"/>
    </row>
    <row r="2" spans="1:9" x14ac:dyDescent="0.35">
      <c r="A2" s="232"/>
      <c r="B2" s="232"/>
      <c r="C2" s="232"/>
      <c r="F2" s="464" t="str">
        <f>VLOOKUP(shiptypenum,shiptbl,2,FALSE)</f>
        <v>LSD</v>
      </c>
      <c r="G2" s="40"/>
    </row>
    <row r="3" spans="1:9" x14ac:dyDescent="0.35">
      <c r="A3" s="53" t="s">
        <v>44</v>
      </c>
      <c r="B3" s="53"/>
      <c r="C3" s="63"/>
      <c r="D3" s="63"/>
      <c r="E3" s="54"/>
      <c r="F3" s="467"/>
      <c r="G3" s="40"/>
    </row>
    <row r="4" spans="1:9" x14ac:dyDescent="0.35">
      <c r="A4" s="53"/>
      <c r="B4" s="53"/>
      <c r="C4" s="63"/>
      <c r="D4" s="63"/>
      <c r="E4" s="54"/>
      <c r="F4" s="467"/>
      <c r="G4" s="40"/>
    </row>
    <row r="5" spans="1:9" s="48" customFormat="1" ht="33.75" customHeight="1" x14ac:dyDescent="0.35">
      <c r="A5" s="585" t="s">
        <v>483</v>
      </c>
      <c r="B5" s="585"/>
      <c r="C5" s="585"/>
      <c r="D5" s="272"/>
      <c r="G5" s="286"/>
    </row>
    <row r="6" spans="1:9" s="48" customFormat="1" ht="33.75" customHeight="1" thickBot="1" x14ac:dyDescent="0.4">
      <c r="A6" s="585" t="s">
        <v>482</v>
      </c>
      <c r="B6" s="585"/>
      <c r="C6" s="585"/>
      <c r="D6" s="287"/>
      <c r="G6" s="286"/>
    </row>
    <row r="7" spans="1:9" ht="26.25" customHeight="1" thickTop="1" thickBot="1" x14ac:dyDescent="0.4">
      <c r="A7" s="288"/>
      <c r="B7" s="289"/>
      <c r="C7" s="497" t="s">
        <v>26</v>
      </c>
      <c r="D7" s="290" t="s">
        <v>24</v>
      </c>
      <c r="E7" s="189" t="s">
        <v>25</v>
      </c>
      <c r="F7" s="483"/>
      <c r="G7" s="40"/>
    </row>
    <row r="8" spans="1:9" ht="16" thickTop="1" x14ac:dyDescent="0.35">
      <c r="A8" s="626" t="s">
        <v>198</v>
      </c>
      <c r="B8" s="627"/>
      <c r="C8" s="400"/>
      <c r="D8" s="126"/>
      <c r="F8" s="473"/>
      <c r="G8" s="40"/>
    </row>
    <row r="9" spans="1:9" ht="54.75" customHeight="1" x14ac:dyDescent="0.35">
      <c r="A9" s="35" t="s">
        <v>50</v>
      </c>
      <c r="B9" s="206" t="s">
        <v>294</v>
      </c>
      <c r="C9" s="264" t="b">
        <v>0</v>
      </c>
      <c r="D9" s="189">
        <v>10</v>
      </c>
      <c r="E9" s="189">
        <f>IF(C9,D9,0)</f>
        <v>0</v>
      </c>
      <c r="F9" s="483"/>
      <c r="G9" s="40"/>
    </row>
    <row r="10" spans="1:9" ht="349.5" customHeight="1" x14ac:dyDescent="0.35">
      <c r="A10" s="35"/>
      <c r="B10" s="477" t="s">
        <v>471</v>
      </c>
      <c r="C10" s="285"/>
      <c r="D10" s="126"/>
      <c r="F10" s="484"/>
      <c r="G10" s="40"/>
      <c r="I10" s="475"/>
    </row>
    <row r="11" spans="1:9" ht="27.75" customHeight="1" x14ac:dyDescent="0.35">
      <c r="A11" s="628" t="s">
        <v>199</v>
      </c>
      <c r="B11" s="629"/>
      <c r="C11" s="285"/>
      <c r="D11" s="126"/>
      <c r="F11" s="469"/>
      <c r="G11" s="40"/>
    </row>
    <row r="12" spans="1:9" ht="59.25" customHeight="1" x14ac:dyDescent="0.35">
      <c r="A12" s="35" t="s">
        <v>51</v>
      </c>
      <c r="B12" s="206" t="s">
        <v>293</v>
      </c>
      <c r="C12" s="264" t="b">
        <v>0</v>
      </c>
      <c r="D12" s="126">
        <v>10</v>
      </c>
      <c r="E12" s="189">
        <f t="shared" ref="E12:E23" si="0">IF(C12,D12,0)</f>
        <v>0</v>
      </c>
      <c r="F12" s="483"/>
      <c r="G12" s="40"/>
    </row>
    <row r="13" spans="1:9" ht="184.5" customHeight="1" x14ac:dyDescent="0.35">
      <c r="A13" s="35"/>
      <c r="B13" s="477" t="s">
        <v>472</v>
      </c>
      <c r="C13" s="285"/>
      <c r="D13" s="126"/>
      <c r="F13" s="470"/>
      <c r="G13" s="40"/>
    </row>
    <row r="14" spans="1:9" customFormat="1" ht="45.75" customHeight="1" x14ac:dyDescent="0.35">
      <c r="A14" s="35" t="s">
        <v>386</v>
      </c>
      <c r="B14" s="207" t="s">
        <v>238</v>
      </c>
      <c r="C14" s="73" t="b">
        <v>0</v>
      </c>
      <c r="D14" s="36">
        <v>10</v>
      </c>
      <c r="E14" s="26">
        <f>IF(C14,D14,0)</f>
        <v>0</v>
      </c>
      <c r="F14" s="483"/>
      <c r="G14" s="3"/>
    </row>
    <row r="15" spans="1:9" ht="27.75" customHeight="1" x14ac:dyDescent="0.35">
      <c r="A15" s="628" t="s">
        <v>201</v>
      </c>
      <c r="B15" s="629"/>
      <c r="C15" s="285"/>
      <c r="D15" s="126"/>
      <c r="F15" s="483"/>
      <c r="G15" s="40"/>
    </row>
    <row r="16" spans="1:9" ht="26.25" customHeight="1" x14ac:dyDescent="0.35">
      <c r="A16" s="35" t="s">
        <v>52</v>
      </c>
      <c r="B16" s="204" t="s">
        <v>220</v>
      </c>
      <c r="C16" s="264" t="b">
        <v>0</v>
      </c>
      <c r="D16" s="126">
        <f>0.3*D12</f>
        <v>3</v>
      </c>
      <c r="E16" s="189">
        <f t="shared" si="0"/>
        <v>0</v>
      </c>
      <c r="F16" s="471"/>
      <c r="G16" s="40"/>
    </row>
    <row r="17" spans="1:7" ht="45" customHeight="1" x14ac:dyDescent="0.35">
      <c r="A17" s="35" t="s">
        <v>53</v>
      </c>
      <c r="B17" s="227" t="s">
        <v>221</v>
      </c>
      <c r="C17" s="264" t="b">
        <v>0</v>
      </c>
      <c r="D17" s="189">
        <v>5</v>
      </c>
      <c r="E17" s="189">
        <f t="shared" si="0"/>
        <v>0</v>
      </c>
      <c r="F17" s="472"/>
    </row>
    <row r="18" spans="1:7" ht="25.5" customHeight="1" x14ac:dyDescent="0.35">
      <c r="A18" s="628" t="s">
        <v>200</v>
      </c>
      <c r="B18" s="629"/>
      <c r="C18" s="285"/>
      <c r="F18" s="468"/>
    </row>
    <row r="19" spans="1:7" ht="25.5" customHeight="1" x14ac:dyDescent="0.35">
      <c r="A19" s="35"/>
      <c r="B19" s="205" t="s">
        <v>289</v>
      </c>
      <c r="C19" s="285"/>
      <c r="F19" s="483"/>
    </row>
    <row r="20" spans="1:7" ht="25.5" customHeight="1" x14ac:dyDescent="0.35">
      <c r="A20" s="35" t="s">
        <v>54</v>
      </c>
      <c r="B20" s="284" t="s">
        <v>222</v>
      </c>
      <c r="C20" s="264" t="b">
        <v>0</v>
      </c>
      <c r="D20" s="189">
        <v>5</v>
      </c>
      <c r="E20" s="126">
        <f t="shared" si="0"/>
        <v>0</v>
      </c>
      <c r="F20" s="483"/>
    </row>
    <row r="21" spans="1:7" ht="25.5" customHeight="1" x14ac:dyDescent="0.35">
      <c r="A21" s="35" t="s">
        <v>290</v>
      </c>
      <c r="B21" s="284" t="s">
        <v>224</v>
      </c>
      <c r="C21" s="264" t="b">
        <v>0</v>
      </c>
      <c r="D21" s="189">
        <v>5</v>
      </c>
      <c r="E21" s="126">
        <f t="shared" si="0"/>
        <v>0</v>
      </c>
      <c r="F21" s="483"/>
    </row>
    <row r="22" spans="1:7" ht="25.5" customHeight="1" x14ac:dyDescent="0.35">
      <c r="A22" s="35" t="s">
        <v>291</v>
      </c>
      <c r="B22" s="284" t="s">
        <v>223</v>
      </c>
      <c r="C22" s="264" t="b">
        <v>0</v>
      </c>
      <c r="D22" s="189">
        <v>10</v>
      </c>
      <c r="E22" s="126">
        <f t="shared" si="0"/>
        <v>0</v>
      </c>
      <c r="F22" s="484"/>
    </row>
    <row r="23" spans="1:7" ht="25.5" customHeight="1" thickBot="1" x14ac:dyDescent="0.4">
      <c r="A23" s="35" t="s">
        <v>292</v>
      </c>
      <c r="B23" s="284" t="s">
        <v>225</v>
      </c>
      <c r="C23" s="264" t="b">
        <v>0</v>
      </c>
      <c r="D23" s="189">
        <v>10</v>
      </c>
      <c r="E23" s="126">
        <f t="shared" si="0"/>
        <v>0</v>
      </c>
      <c r="F23" s="484"/>
    </row>
    <row r="24" spans="1:7" ht="27.75" customHeight="1" thickTop="1" thickBot="1" x14ac:dyDescent="0.4">
      <c r="A24" s="291"/>
      <c r="B24" s="292"/>
      <c r="C24" s="387"/>
      <c r="E24" s="126"/>
      <c r="F24" s="485"/>
      <c r="G24" s="40"/>
    </row>
    <row r="25" spans="1:7" ht="16" thickBot="1" x14ac:dyDescent="0.4">
      <c r="B25" s="293" t="s">
        <v>32</v>
      </c>
      <c r="C25" s="296">
        <f>E25/D25</f>
        <v>0</v>
      </c>
      <c r="D25" s="189">
        <f>SUM(D9:D23)</f>
        <v>68</v>
      </c>
      <c r="E25" s="189">
        <f>SUM(E9:E23)</f>
        <v>0</v>
      </c>
      <c r="F25" s="473"/>
      <c r="G25" s="40"/>
    </row>
    <row r="26" spans="1:7" ht="16" thickBot="1" x14ac:dyDescent="0.4">
      <c r="F26" s="473"/>
    </row>
    <row r="27" spans="1:7" ht="177" customHeight="1" thickBot="1" x14ac:dyDescent="0.4">
      <c r="B27" s="588" t="s">
        <v>46</v>
      </c>
      <c r="C27" s="589"/>
      <c r="F27" s="473"/>
    </row>
    <row r="28" spans="1:7" x14ac:dyDescent="0.35">
      <c r="B28" s="33"/>
    </row>
    <row r="29" spans="1:7" x14ac:dyDescent="0.35">
      <c r="B29" s="295"/>
      <c r="F29" s="467"/>
    </row>
    <row r="36" ht="17.25" customHeight="1" x14ac:dyDescent="0.35"/>
  </sheetData>
  <mergeCells count="8">
    <mergeCell ref="A1:C1"/>
    <mergeCell ref="B27:C27"/>
    <mergeCell ref="A8:B8"/>
    <mergeCell ref="A11:B11"/>
    <mergeCell ref="A15:B15"/>
    <mergeCell ref="A18:B18"/>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10" r:id="rId10" name="Check Box 14">
              <controlPr defaultSize="0" autoFill="0" autoLine="0" autoPict="0">
                <anchor moveWithCells="1">
                  <from>
                    <xdr:col>2</xdr:col>
                    <xdr:colOff>419100</xdr:colOff>
                    <xdr:row>21</xdr:row>
                    <xdr:rowOff>0</xdr:rowOff>
                  </from>
                  <to>
                    <xdr:col>2</xdr:col>
                    <xdr:colOff>609600</xdr:colOff>
                    <xdr:row>21</xdr:row>
                    <xdr:rowOff>209550</xdr:rowOff>
                  </to>
                </anchor>
              </controlPr>
            </control>
          </mc:Choice>
        </mc:AlternateContent>
        <mc:AlternateContent xmlns:mc="http://schemas.openxmlformats.org/markup-compatibility/2006">
          <mc:Choice Requires="x14">
            <control shapeId="55311" r:id="rId11" name="Check Box 15">
              <controlPr defaultSize="0" autoFill="0" autoLine="0" autoPict="0">
                <anchor moveWithCells="1">
                  <from>
                    <xdr:col>2</xdr:col>
                    <xdr:colOff>419100</xdr:colOff>
                    <xdr:row>22</xdr:row>
                    <xdr:rowOff>0</xdr:rowOff>
                  </from>
                  <to>
                    <xdr:col>2</xdr:col>
                    <xdr:colOff>609600</xdr:colOff>
                    <xdr:row>22</xdr:row>
                    <xdr:rowOff>209550</xdr:rowOff>
                  </to>
                </anchor>
              </controlPr>
            </control>
          </mc:Choice>
        </mc:AlternateContent>
        <mc:AlternateContent xmlns:mc="http://schemas.openxmlformats.org/markup-compatibility/2006">
          <mc:Choice Requires="x14">
            <control shapeId="55323" r:id="rId12"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103"/>
  <sheetViews>
    <sheetView topLeftCell="A21" zoomScaleNormal="100" zoomScaleSheetLayoutView="100" workbookViewId="0">
      <selection activeCell="H35" sqref="H35"/>
    </sheetView>
  </sheetViews>
  <sheetFormatPr defaultColWidth="9.1796875" defaultRowHeight="15.5" x14ac:dyDescent="0.35"/>
  <cols>
    <col min="1" max="1" width="11" style="181" customWidth="1"/>
    <col min="2" max="2" width="60.1796875" style="175" customWidth="1"/>
    <col min="3" max="3" width="10.26953125" style="40" customWidth="1"/>
    <col min="4" max="4" width="17.81640625" style="40" customWidth="1"/>
    <col min="5" max="5" width="13.7265625" style="189" customWidth="1"/>
    <col min="6" max="6" width="13.1796875" style="189" customWidth="1"/>
    <col min="7" max="7" width="27" style="140" customWidth="1"/>
    <col min="8" max="8" width="17.7265625" style="140" customWidth="1"/>
    <col min="9" max="10" width="0" style="140" hidden="1" customWidth="1"/>
    <col min="11" max="16384" width="9.1796875" style="140"/>
  </cols>
  <sheetData>
    <row r="1" spans="1:7" x14ac:dyDescent="0.35">
      <c r="A1" s="77" t="s">
        <v>193</v>
      </c>
      <c r="B1" s="77"/>
      <c r="C1" s="77"/>
      <c r="D1" s="136"/>
      <c r="G1" s="371" t="s">
        <v>414</v>
      </c>
    </row>
    <row r="2" spans="1:7" x14ac:dyDescent="0.35">
      <c r="A2" s="567"/>
      <c r="B2" s="567"/>
      <c r="C2" s="567"/>
      <c r="D2" s="136"/>
      <c r="G2" s="372" t="str">
        <f>VLOOKUP(shiptypenum,shiptbl,2,FALSE)</f>
        <v>LSD</v>
      </c>
    </row>
    <row r="3" spans="1:7" x14ac:dyDescent="0.35">
      <c r="A3" s="53" t="s">
        <v>44</v>
      </c>
      <c r="B3" s="157"/>
      <c r="C3" s="191"/>
      <c r="D3" s="192"/>
    </row>
    <row r="4" spans="1:7" s="475" customFormat="1" ht="33.75" customHeight="1" x14ac:dyDescent="0.35">
      <c r="A4" s="585" t="s">
        <v>483</v>
      </c>
      <c r="B4" s="585"/>
      <c r="C4" s="585"/>
      <c r="D4" s="272"/>
      <c r="E4" s="287"/>
      <c r="F4" s="287"/>
    </row>
    <row r="5" spans="1:7" s="475" customFormat="1" ht="33.75" customHeight="1" thickBot="1" x14ac:dyDescent="0.4">
      <c r="A5" s="585" t="s">
        <v>482</v>
      </c>
      <c r="B5" s="585"/>
      <c r="C5" s="585"/>
      <c r="D5" s="302"/>
      <c r="E5" s="287"/>
      <c r="F5" s="287"/>
    </row>
    <row r="6" spans="1:7" ht="24.75" customHeight="1" thickTop="1" thickBot="1" x14ac:dyDescent="0.4">
      <c r="A6" s="633"/>
      <c r="B6" s="633"/>
      <c r="C6" s="193"/>
      <c r="D6" s="328" t="s">
        <v>26</v>
      </c>
      <c r="E6" s="189" t="s">
        <v>24</v>
      </c>
      <c r="F6" s="189" t="s">
        <v>25</v>
      </c>
      <c r="G6" s="568"/>
    </row>
    <row r="7" spans="1:7" s="304" customFormat="1" ht="16" thickTop="1" x14ac:dyDescent="0.35">
      <c r="A7" s="312"/>
      <c r="B7" s="309" t="s">
        <v>331</v>
      </c>
      <c r="C7" s="342" t="s">
        <v>330</v>
      </c>
      <c r="D7" s="313"/>
      <c r="E7" s="317"/>
      <c r="F7" s="317"/>
      <c r="G7" s="473"/>
    </row>
    <row r="8" spans="1:7" s="304" customFormat="1" ht="31.5" customHeight="1" x14ac:dyDescent="0.35">
      <c r="A8" s="316" t="s">
        <v>333</v>
      </c>
      <c r="B8" s="564" t="s">
        <v>486</v>
      </c>
      <c r="C8" s="303">
        <f>VLOOKUP(ship_type,cardio_tbl,2,FALSE)</f>
        <v>15</v>
      </c>
      <c r="D8" s="264" t="b">
        <v>0</v>
      </c>
      <c r="E8" s="379">
        <v>10</v>
      </c>
      <c r="F8" s="317">
        <f>IF(D8,E8,0)</f>
        <v>0</v>
      </c>
      <c r="G8" s="483"/>
    </row>
    <row r="9" spans="1:7" s="304" customFormat="1" ht="15.5" customHeight="1" x14ac:dyDescent="0.35">
      <c r="A9" s="316"/>
      <c r="B9" s="569" t="s">
        <v>487</v>
      </c>
      <c r="C9" s="570"/>
      <c r="D9" s="264" t="b">
        <v>0</v>
      </c>
      <c r="E9" s="379">
        <v>8</v>
      </c>
      <c r="F9" s="317">
        <f>IF(D9,E9,0)</f>
        <v>0</v>
      </c>
      <c r="G9" s="483"/>
    </row>
    <row r="10" spans="1:7" s="304" customFormat="1" x14ac:dyDescent="0.35">
      <c r="A10" s="312"/>
      <c r="B10" s="305" t="s">
        <v>340</v>
      </c>
      <c r="C10" s="308"/>
      <c r="D10" s="321"/>
      <c r="E10" s="379"/>
      <c r="F10" s="317"/>
      <c r="G10" s="329"/>
    </row>
    <row r="11" spans="1:7" s="304" customFormat="1" x14ac:dyDescent="0.35">
      <c r="A11" s="312"/>
      <c r="B11" s="305" t="s">
        <v>341</v>
      </c>
      <c r="C11" s="308"/>
      <c r="D11" s="322"/>
      <c r="E11" s="379"/>
      <c r="F11" s="317"/>
      <c r="G11" s="329"/>
    </row>
    <row r="12" spans="1:7" s="304" customFormat="1" x14ac:dyDescent="0.35">
      <c r="A12" s="312"/>
      <c r="B12" s="305" t="s">
        <v>488</v>
      </c>
      <c r="C12" s="308"/>
      <c r="D12" s="322"/>
      <c r="E12" s="379"/>
      <c r="F12" s="317"/>
      <c r="G12" s="329"/>
    </row>
    <row r="13" spans="1:7" s="304" customFormat="1" x14ac:dyDescent="0.35">
      <c r="A13" s="312"/>
      <c r="B13" s="571" t="s">
        <v>489</v>
      </c>
      <c r="C13" s="572"/>
      <c r="D13" s="573" t="b">
        <v>0</v>
      </c>
      <c r="E13" s="379">
        <v>8</v>
      </c>
      <c r="F13" s="317">
        <f>IF(D13,E13,0)</f>
        <v>0</v>
      </c>
      <c r="G13" s="329"/>
    </row>
    <row r="14" spans="1:7" s="304" customFormat="1" x14ac:dyDescent="0.35">
      <c r="A14" s="312"/>
      <c r="B14" s="305" t="s">
        <v>490</v>
      </c>
      <c r="C14" s="308"/>
      <c r="D14" s="322"/>
      <c r="E14" s="379"/>
      <c r="F14" s="317"/>
      <c r="G14" s="329"/>
    </row>
    <row r="15" spans="1:7" s="304" customFormat="1" x14ac:dyDescent="0.35">
      <c r="A15" s="312"/>
      <c r="B15" s="305" t="s">
        <v>491</v>
      </c>
      <c r="C15" s="308"/>
      <c r="D15" s="322"/>
      <c r="E15" s="379"/>
      <c r="F15" s="317"/>
      <c r="G15" s="329"/>
    </row>
    <row r="16" spans="1:7" s="304" customFormat="1" x14ac:dyDescent="0.35">
      <c r="A16" s="312"/>
      <c r="B16" s="574" t="s">
        <v>489</v>
      </c>
      <c r="C16" s="572"/>
      <c r="D16" s="573" t="b">
        <v>0</v>
      </c>
      <c r="E16" s="379">
        <v>8</v>
      </c>
      <c r="F16" s="317">
        <f>IF(D16,E16,0)</f>
        <v>0</v>
      </c>
      <c r="G16" s="329"/>
    </row>
    <row r="17" spans="1:7" s="304" customFormat="1" x14ac:dyDescent="0.35">
      <c r="A17" s="312"/>
      <c r="B17" s="575" t="s">
        <v>492</v>
      </c>
      <c r="C17" s="308"/>
      <c r="D17" s="322"/>
      <c r="E17" s="379"/>
      <c r="F17" s="317"/>
      <c r="G17" s="329"/>
    </row>
    <row r="18" spans="1:7" s="304" customFormat="1" x14ac:dyDescent="0.35">
      <c r="A18" s="312"/>
      <c r="B18" s="575" t="s">
        <v>493</v>
      </c>
      <c r="C18" s="308"/>
      <c r="D18" s="322"/>
      <c r="E18" s="379"/>
      <c r="F18" s="317"/>
      <c r="G18" s="329"/>
    </row>
    <row r="19" spans="1:7" s="304" customFormat="1" x14ac:dyDescent="0.35">
      <c r="A19" s="312"/>
      <c r="B19" s="575" t="s">
        <v>494</v>
      </c>
      <c r="C19" s="308"/>
      <c r="D19" s="322"/>
      <c r="E19" s="379"/>
      <c r="F19" s="317"/>
      <c r="G19" s="329"/>
    </row>
    <row r="20" spans="1:7" s="304" customFormat="1" x14ac:dyDescent="0.35">
      <c r="A20" s="312"/>
      <c r="B20" s="575" t="s">
        <v>495</v>
      </c>
      <c r="C20" s="308"/>
      <c r="D20" s="322"/>
      <c r="E20" s="379"/>
      <c r="F20" s="317"/>
      <c r="G20" s="329"/>
    </row>
    <row r="21" spans="1:7" s="304" customFormat="1" ht="16.5" customHeight="1" x14ac:dyDescent="0.35">
      <c r="A21" s="312"/>
      <c r="B21" s="179" t="s">
        <v>496</v>
      </c>
      <c r="C21" s="308"/>
      <c r="D21" s="322"/>
      <c r="E21" s="379"/>
      <c r="F21" s="317"/>
      <c r="G21" s="329"/>
    </row>
    <row r="22" spans="1:7" s="304" customFormat="1" ht="21" customHeight="1" x14ac:dyDescent="0.35">
      <c r="A22" s="312"/>
      <c r="B22" s="309" t="s">
        <v>497</v>
      </c>
      <c r="C22" s="303"/>
      <c r="D22" s="323"/>
      <c r="E22" s="379"/>
      <c r="F22" s="317"/>
      <c r="G22" s="473"/>
    </row>
    <row r="23" spans="1:7" s="304" customFormat="1" ht="33.75" customHeight="1" x14ac:dyDescent="0.35">
      <c r="A23" s="316" t="s">
        <v>334</v>
      </c>
      <c r="B23" s="564" t="s">
        <v>498</v>
      </c>
      <c r="C23" s="572"/>
      <c r="D23" s="264" t="b">
        <v>0</v>
      </c>
      <c r="E23" s="379">
        <v>10</v>
      </c>
      <c r="F23" s="317">
        <f>IF(D23,E23,0)</f>
        <v>0</v>
      </c>
      <c r="G23" s="483"/>
    </row>
    <row r="24" spans="1:7" s="304" customFormat="1" ht="15.75" customHeight="1" x14ac:dyDescent="0.35">
      <c r="A24" s="312"/>
      <c r="B24" s="305" t="s">
        <v>342</v>
      </c>
      <c r="C24" s="303">
        <f>VLOOKUP(ship_type,strength_tbl,2,FALSE)</f>
        <v>3</v>
      </c>
      <c r="D24" s="322"/>
      <c r="E24" s="379"/>
      <c r="F24" s="317"/>
      <c r="G24" s="329"/>
    </row>
    <row r="25" spans="1:7" s="304" customFormat="1" ht="15.75" customHeight="1" x14ac:dyDescent="0.35">
      <c r="A25" s="312"/>
      <c r="B25" s="305" t="s">
        <v>343</v>
      </c>
      <c r="C25" s="303">
        <f>VLOOKUP(ship_type,strength_tbl,3,FALSE)</f>
        <v>2</v>
      </c>
      <c r="D25" s="322"/>
      <c r="E25" s="379"/>
      <c r="F25" s="317"/>
      <c r="G25" s="329"/>
    </row>
    <row r="26" spans="1:7" s="304" customFormat="1" ht="15.75" customHeight="1" x14ac:dyDescent="0.35">
      <c r="A26" s="312"/>
      <c r="B26" s="307" t="s">
        <v>345</v>
      </c>
      <c r="C26" s="303">
        <v>2</v>
      </c>
      <c r="D26" s="322"/>
      <c r="E26" s="379"/>
      <c r="F26" s="317"/>
      <c r="G26" s="329"/>
    </row>
    <row r="27" spans="1:7" s="304" customFormat="1" ht="15.75" customHeight="1" x14ac:dyDescent="0.35">
      <c r="A27" s="312"/>
      <c r="B27" s="307" t="s">
        <v>344</v>
      </c>
      <c r="C27" s="303">
        <v>10</v>
      </c>
      <c r="D27" s="322"/>
      <c r="E27" s="379"/>
      <c r="F27" s="317"/>
      <c r="G27" s="329"/>
    </row>
    <row r="28" spans="1:7" s="304" customFormat="1" ht="23.25" customHeight="1" x14ac:dyDescent="0.35">
      <c r="A28" s="312"/>
      <c r="B28" s="315" t="s">
        <v>499</v>
      </c>
      <c r="C28" s="303"/>
      <c r="D28" s="576"/>
      <c r="E28" s="379"/>
      <c r="F28" s="317"/>
      <c r="G28" s="473"/>
    </row>
    <row r="29" spans="1:7" s="304" customFormat="1" ht="41.25" customHeight="1" x14ac:dyDescent="0.35">
      <c r="A29" s="316" t="s">
        <v>335</v>
      </c>
      <c r="B29" s="564" t="s">
        <v>500</v>
      </c>
      <c r="C29" s="303">
        <v>8</v>
      </c>
      <c r="D29" s="323" t="b">
        <v>0</v>
      </c>
      <c r="E29" s="379">
        <v>15</v>
      </c>
      <c r="F29" s="317">
        <f>IF(D29,E29,0)</f>
        <v>0</v>
      </c>
      <c r="G29" s="483"/>
    </row>
    <row r="30" spans="1:7" s="304" customFormat="1" ht="21" customHeight="1" x14ac:dyDescent="0.35">
      <c r="A30" s="312"/>
      <c r="B30" s="315" t="s">
        <v>501</v>
      </c>
      <c r="C30" s="303"/>
      <c r="D30" s="323"/>
      <c r="E30" s="379"/>
      <c r="F30" s="317"/>
      <c r="G30" s="473"/>
    </row>
    <row r="31" spans="1:7" s="304" customFormat="1" x14ac:dyDescent="0.35">
      <c r="A31" s="312"/>
      <c r="B31" s="305" t="s">
        <v>346</v>
      </c>
      <c r="C31" s="308"/>
      <c r="D31" s="322"/>
      <c r="E31" s="379"/>
      <c r="F31" s="317"/>
      <c r="G31" s="329"/>
    </row>
    <row r="32" spans="1:7" s="304" customFormat="1" x14ac:dyDescent="0.35">
      <c r="A32" s="312"/>
      <c r="B32" s="305" t="s">
        <v>347</v>
      </c>
      <c r="C32" s="308"/>
      <c r="D32" s="322"/>
      <c r="E32" s="379"/>
      <c r="F32" s="317"/>
      <c r="G32" s="329"/>
    </row>
    <row r="33" spans="1:7" s="304" customFormat="1" x14ac:dyDescent="0.35">
      <c r="A33" s="312"/>
      <c r="B33" s="305" t="s">
        <v>502</v>
      </c>
      <c r="C33" s="308"/>
      <c r="D33" s="322"/>
      <c r="E33" s="379"/>
      <c r="F33" s="317"/>
      <c r="G33" s="329"/>
    </row>
    <row r="34" spans="1:7" s="304" customFormat="1" x14ac:dyDescent="0.35">
      <c r="A34" s="312"/>
      <c r="B34" s="305" t="s">
        <v>348</v>
      </c>
      <c r="C34" s="308"/>
      <c r="D34" s="322"/>
      <c r="E34" s="379"/>
      <c r="F34" s="317"/>
      <c r="G34" s="329"/>
    </row>
    <row r="35" spans="1:7" s="304" customFormat="1" x14ac:dyDescent="0.35">
      <c r="A35" s="312"/>
      <c r="B35" s="305" t="s">
        <v>349</v>
      </c>
      <c r="C35" s="308"/>
      <c r="D35" s="322"/>
      <c r="E35" s="379"/>
      <c r="F35" s="317"/>
      <c r="G35" s="329"/>
    </row>
    <row r="36" spans="1:7" s="304" customFormat="1" x14ac:dyDescent="0.35">
      <c r="A36" s="312"/>
      <c r="B36" s="305" t="s">
        <v>350</v>
      </c>
      <c r="C36" s="308"/>
      <c r="D36" s="322"/>
      <c r="E36" s="379"/>
      <c r="F36" s="317"/>
      <c r="G36" s="329"/>
    </row>
    <row r="37" spans="1:7" s="304" customFormat="1" x14ac:dyDescent="0.35">
      <c r="A37" s="312"/>
      <c r="B37" s="305" t="s">
        <v>351</v>
      </c>
      <c r="C37" s="308"/>
      <c r="D37" s="322"/>
      <c r="E37" s="379"/>
      <c r="F37" s="317"/>
      <c r="G37" s="329"/>
    </row>
    <row r="38" spans="1:7" s="304" customFormat="1" x14ac:dyDescent="0.35">
      <c r="A38" s="312"/>
      <c r="B38" s="305" t="s">
        <v>352</v>
      </c>
      <c r="C38" s="308"/>
      <c r="D38" s="322"/>
      <c r="E38" s="379"/>
      <c r="F38" s="317"/>
      <c r="G38" s="329"/>
    </row>
    <row r="39" spans="1:7" s="304" customFormat="1" x14ac:dyDescent="0.35">
      <c r="A39" s="312"/>
      <c r="B39" s="305" t="s">
        <v>353</v>
      </c>
      <c r="C39" s="308"/>
      <c r="D39" s="322"/>
      <c r="E39" s="379"/>
      <c r="F39" s="317"/>
      <c r="G39" s="329"/>
    </row>
    <row r="40" spans="1:7" s="304" customFormat="1" x14ac:dyDescent="0.35">
      <c r="A40" s="312"/>
      <c r="B40" s="305" t="s">
        <v>354</v>
      </c>
      <c r="C40" s="308"/>
      <c r="D40" s="322"/>
      <c r="E40" s="379"/>
      <c r="F40" s="317"/>
      <c r="G40" s="329"/>
    </row>
    <row r="41" spans="1:7" s="304" customFormat="1" x14ac:dyDescent="0.35">
      <c r="A41" s="312"/>
      <c r="B41" s="305" t="s">
        <v>527</v>
      </c>
      <c r="C41" s="308"/>
      <c r="D41" s="322"/>
      <c r="E41" s="379"/>
      <c r="F41" s="317"/>
      <c r="G41" s="329"/>
    </row>
    <row r="42" spans="1:7" s="304" customFormat="1" ht="21" customHeight="1" x14ac:dyDescent="0.35">
      <c r="A42" s="312"/>
      <c r="B42" s="315" t="s">
        <v>503</v>
      </c>
      <c r="C42" s="303"/>
      <c r="D42" s="323"/>
      <c r="E42" s="577"/>
      <c r="F42" s="317"/>
      <c r="G42" s="473"/>
    </row>
    <row r="43" spans="1:7" s="304" customFormat="1" ht="16" customHeight="1" x14ac:dyDescent="0.35">
      <c r="A43" s="312"/>
      <c r="B43" s="307" t="s">
        <v>504</v>
      </c>
      <c r="C43" s="308"/>
      <c r="D43" s="322"/>
      <c r="E43" s="577"/>
      <c r="F43" s="317"/>
      <c r="G43" s="473"/>
    </row>
    <row r="44" spans="1:7" s="306" customFormat="1" ht="46.5" x14ac:dyDescent="0.35">
      <c r="A44" s="314"/>
      <c r="B44" s="179" t="s">
        <v>355</v>
      </c>
      <c r="C44" s="311"/>
      <c r="D44" s="341"/>
      <c r="E44" s="379"/>
      <c r="F44" s="317"/>
      <c r="G44" s="329"/>
    </row>
    <row r="45" spans="1:7" s="306" customFormat="1" ht="46.5" x14ac:dyDescent="0.35">
      <c r="A45" s="314"/>
      <c r="B45" s="179" t="s">
        <v>356</v>
      </c>
      <c r="C45" s="311"/>
      <c r="D45" s="341"/>
      <c r="E45" s="379"/>
      <c r="F45" s="317"/>
      <c r="G45" s="329"/>
    </row>
    <row r="46" spans="1:7" s="306" customFormat="1" ht="46.5" x14ac:dyDescent="0.35">
      <c r="A46" s="314"/>
      <c r="B46" s="179" t="s">
        <v>357</v>
      </c>
      <c r="C46" s="311"/>
      <c r="D46" s="341"/>
      <c r="E46" s="379"/>
      <c r="F46" s="317"/>
      <c r="G46" s="329"/>
    </row>
    <row r="47" spans="1:7" s="306" customFormat="1" ht="46.5" x14ac:dyDescent="0.35">
      <c r="A47" s="314"/>
      <c r="B47" s="179" t="s">
        <v>358</v>
      </c>
      <c r="C47" s="311"/>
      <c r="D47" s="341"/>
      <c r="E47" s="379"/>
      <c r="F47" s="317"/>
      <c r="G47" s="329"/>
    </row>
    <row r="48" spans="1:7" s="306" customFormat="1" ht="46.5" x14ac:dyDescent="0.35">
      <c r="A48" s="314"/>
      <c r="B48" s="179" t="s">
        <v>359</v>
      </c>
      <c r="C48" s="311"/>
      <c r="D48" s="341"/>
      <c r="E48" s="379"/>
      <c r="F48" s="317"/>
      <c r="G48" s="329"/>
    </row>
    <row r="49" spans="1:7" s="306" customFormat="1" ht="46.5" x14ac:dyDescent="0.35">
      <c r="A49" s="314"/>
      <c r="B49" s="179" t="s">
        <v>360</v>
      </c>
      <c r="C49" s="311"/>
      <c r="D49" s="341"/>
      <c r="E49" s="379"/>
      <c r="F49" s="317"/>
      <c r="G49" s="329"/>
    </row>
    <row r="50" spans="1:7" s="306" customFormat="1" ht="46.5" x14ac:dyDescent="0.35">
      <c r="A50" s="314"/>
      <c r="B50" s="179" t="s">
        <v>361</v>
      </c>
      <c r="C50" s="311"/>
      <c r="D50" s="341"/>
      <c r="E50" s="379"/>
      <c r="F50" s="317"/>
      <c r="G50" s="329"/>
    </row>
    <row r="51" spans="1:7" s="306" customFormat="1" ht="46.5" x14ac:dyDescent="0.35">
      <c r="A51" s="314"/>
      <c r="B51" s="179" t="s">
        <v>362</v>
      </c>
      <c r="C51" s="311"/>
      <c r="D51" s="341"/>
      <c r="E51" s="379"/>
      <c r="F51" s="317"/>
      <c r="G51" s="329"/>
    </row>
    <row r="52" spans="1:7" s="306" customFormat="1" ht="46.5" x14ac:dyDescent="0.35">
      <c r="A52" s="314"/>
      <c r="B52" s="179" t="s">
        <v>363</v>
      </c>
      <c r="C52" s="311"/>
      <c r="D52" s="341"/>
      <c r="E52" s="379"/>
      <c r="F52" s="317"/>
      <c r="G52" s="329"/>
    </row>
    <row r="53" spans="1:7" s="306" customFormat="1" ht="46.5" x14ac:dyDescent="0.35">
      <c r="A53" s="314"/>
      <c r="B53" s="179" t="s">
        <v>364</v>
      </c>
      <c r="C53" s="311"/>
      <c r="D53" s="341"/>
      <c r="E53" s="379"/>
      <c r="F53" s="317"/>
      <c r="G53" s="329"/>
    </row>
    <row r="54" spans="1:7" s="306" customFormat="1" ht="46.5" x14ac:dyDescent="0.35">
      <c r="A54" s="314"/>
      <c r="B54" s="179" t="s">
        <v>365</v>
      </c>
      <c r="C54" s="311"/>
      <c r="D54" s="341"/>
      <c r="E54" s="379"/>
      <c r="F54" s="317"/>
      <c r="G54" s="329"/>
    </row>
    <row r="55" spans="1:7" s="306" customFormat="1" ht="29.25" customHeight="1" x14ac:dyDescent="0.35">
      <c r="A55" s="314"/>
      <c r="B55" s="179" t="s">
        <v>505</v>
      </c>
      <c r="C55" s="311"/>
      <c r="D55" s="341"/>
      <c r="E55" s="379"/>
      <c r="F55" s="317"/>
      <c r="G55" s="329"/>
    </row>
    <row r="56" spans="1:7" s="306" customFormat="1" ht="31" x14ac:dyDescent="0.35">
      <c r="A56" s="314"/>
      <c r="B56" s="179" t="s">
        <v>366</v>
      </c>
      <c r="C56" s="311"/>
      <c r="D56" s="341"/>
      <c r="E56" s="379"/>
      <c r="F56" s="317"/>
      <c r="G56" s="329"/>
    </row>
    <row r="57" spans="1:7" s="306" customFormat="1" ht="46.5" x14ac:dyDescent="0.35">
      <c r="A57" s="314"/>
      <c r="B57" s="179" t="s">
        <v>367</v>
      </c>
      <c r="C57" s="311"/>
      <c r="D57" s="341"/>
      <c r="E57" s="379"/>
      <c r="F57" s="317"/>
      <c r="G57" s="329"/>
    </row>
    <row r="58" spans="1:7" s="306" customFormat="1" ht="46.5" x14ac:dyDescent="0.35">
      <c r="A58" s="314"/>
      <c r="B58" s="179" t="s">
        <v>368</v>
      </c>
      <c r="C58" s="311"/>
      <c r="D58" s="341"/>
      <c r="E58" s="379"/>
      <c r="F58" s="317"/>
      <c r="G58" s="329"/>
    </row>
    <row r="59" spans="1:7" s="306" customFormat="1" ht="31" x14ac:dyDescent="0.35">
      <c r="A59" s="314"/>
      <c r="B59" s="179" t="s">
        <v>369</v>
      </c>
      <c r="C59" s="311"/>
      <c r="D59" s="341"/>
      <c r="E59" s="379"/>
      <c r="F59" s="317"/>
      <c r="G59" s="329"/>
    </row>
    <row r="60" spans="1:7" s="306" customFormat="1" ht="31" x14ac:dyDescent="0.35">
      <c r="A60" s="314"/>
      <c r="B60" s="179" t="s">
        <v>370</v>
      </c>
      <c r="C60" s="311"/>
      <c r="D60" s="341"/>
      <c r="E60" s="379"/>
      <c r="F60" s="317"/>
      <c r="G60" s="329"/>
    </row>
    <row r="61" spans="1:7" s="306" customFormat="1" ht="46.5" x14ac:dyDescent="0.35">
      <c r="A61" s="314"/>
      <c r="B61" s="179" t="s">
        <v>506</v>
      </c>
      <c r="C61" s="311"/>
      <c r="D61" s="341"/>
      <c r="E61" s="379"/>
      <c r="F61" s="317"/>
      <c r="G61" s="329"/>
    </row>
    <row r="62" spans="1:7" s="306" customFormat="1" ht="46.5" x14ac:dyDescent="0.35">
      <c r="A62" s="314"/>
      <c r="B62" s="179" t="s">
        <v>507</v>
      </c>
      <c r="C62" s="311"/>
      <c r="D62" s="341"/>
      <c r="E62" s="379"/>
      <c r="F62" s="317"/>
      <c r="G62" s="329"/>
    </row>
    <row r="63" spans="1:7" s="306" customFormat="1" x14ac:dyDescent="0.35">
      <c r="A63" s="314"/>
      <c r="B63" s="310" t="s">
        <v>371</v>
      </c>
      <c r="C63" s="311"/>
      <c r="D63" s="341"/>
      <c r="E63" s="379"/>
      <c r="F63" s="317"/>
      <c r="G63" s="329"/>
    </row>
    <row r="64" spans="1:7" s="304" customFormat="1" ht="21" customHeight="1" x14ac:dyDescent="0.35">
      <c r="A64" s="312"/>
      <c r="B64" s="309" t="s">
        <v>508</v>
      </c>
      <c r="C64" s="303"/>
      <c r="D64" s="323"/>
      <c r="E64" s="379"/>
      <c r="F64" s="317"/>
      <c r="G64" s="473"/>
    </row>
    <row r="65" spans="1:7" s="304" customFormat="1" ht="28" customHeight="1" x14ac:dyDescent="0.35">
      <c r="A65" s="316" t="s">
        <v>336</v>
      </c>
      <c r="B65" s="566" t="s">
        <v>509</v>
      </c>
      <c r="C65" s="308"/>
      <c r="D65" s="323" t="b">
        <v>0</v>
      </c>
      <c r="E65" s="379">
        <v>5</v>
      </c>
      <c r="F65" s="317">
        <f t="shared" ref="F65" si="0">IF(D65,E65,0)</f>
        <v>0</v>
      </c>
      <c r="G65" s="578"/>
    </row>
    <row r="66" spans="1:7" s="306" customFormat="1" x14ac:dyDescent="0.35">
      <c r="A66" s="314"/>
      <c r="B66" s="310" t="s">
        <v>510</v>
      </c>
      <c r="C66" s="495">
        <v>1</v>
      </c>
      <c r="D66" s="341"/>
      <c r="E66" s="379"/>
      <c r="F66" s="317"/>
      <c r="G66" s="329"/>
    </row>
    <row r="67" spans="1:7" s="304" customFormat="1" ht="22" customHeight="1" x14ac:dyDescent="0.35">
      <c r="A67" s="316" t="s">
        <v>337</v>
      </c>
      <c r="B67" s="566" t="s">
        <v>511</v>
      </c>
      <c r="C67" s="303"/>
      <c r="D67" s="323" t="b">
        <v>0</v>
      </c>
      <c r="E67" s="379">
        <v>5</v>
      </c>
      <c r="F67" s="317">
        <f t="shared" ref="F67" si="1">IF(D67,E67,0)</f>
        <v>0</v>
      </c>
      <c r="G67" s="483"/>
    </row>
    <row r="68" spans="1:7" s="306" customFormat="1" x14ac:dyDescent="0.35">
      <c r="A68" s="314"/>
      <c r="B68" s="310" t="s">
        <v>512</v>
      </c>
      <c r="C68" s="311"/>
      <c r="D68" s="341"/>
      <c r="E68" s="379"/>
      <c r="F68" s="317"/>
      <c r="G68" s="329"/>
    </row>
    <row r="69" spans="1:7" s="306" customFormat="1" x14ac:dyDescent="0.35">
      <c r="A69" s="314"/>
      <c r="B69" s="310" t="s">
        <v>513</v>
      </c>
      <c r="C69" s="311"/>
      <c r="D69" s="341"/>
      <c r="E69" s="379"/>
      <c r="F69" s="317"/>
      <c r="G69" s="329"/>
    </row>
    <row r="70" spans="1:7" s="306" customFormat="1" x14ac:dyDescent="0.35">
      <c r="A70" s="314"/>
      <c r="B70" s="310" t="s">
        <v>514</v>
      </c>
      <c r="C70" s="311"/>
      <c r="D70" s="341"/>
      <c r="E70" s="379"/>
      <c r="F70" s="317"/>
      <c r="G70" s="329"/>
    </row>
    <row r="71" spans="1:7" s="306" customFormat="1" x14ac:dyDescent="0.35">
      <c r="A71" s="314"/>
      <c r="B71" s="310" t="s">
        <v>515</v>
      </c>
      <c r="C71" s="311"/>
      <c r="D71" s="341"/>
      <c r="E71" s="379"/>
      <c r="F71" s="317"/>
      <c r="G71" s="329"/>
    </row>
    <row r="72" spans="1:7" s="306" customFormat="1" x14ac:dyDescent="0.35">
      <c r="A72" s="314"/>
      <c r="B72" s="310" t="s">
        <v>516</v>
      </c>
      <c r="C72" s="311"/>
      <c r="D72" s="341"/>
      <c r="E72" s="379"/>
      <c r="F72" s="317"/>
      <c r="G72" s="329"/>
    </row>
    <row r="73" spans="1:7" s="306" customFormat="1" x14ac:dyDescent="0.35">
      <c r="A73" s="314"/>
      <c r="B73" s="310" t="s">
        <v>517</v>
      </c>
      <c r="C73" s="311"/>
      <c r="D73" s="341"/>
      <c r="E73" s="379"/>
      <c r="F73" s="317"/>
      <c r="G73" s="329"/>
    </row>
    <row r="74" spans="1:7" s="306" customFormat="1" x14ac:dyDescent="0.35">
      <c r="A74" s="314"/>
      <c r="B74" s="310" t="s">
        <v>518</v>
      </c>
      <c r="C74" s="311"/>
      <c r="D74" s="341"/>
      <c r="E74" s="379"/>
      <c r="F74" s="317"/>
      <c r="G74" s="329"/>
    </row>
    <row r="75" spans="1:7" s="306" customFormat="1" x14ac:dyDescent="0.35">
      <c r="A75" s="314"/>
      <c r="B75" s="310" t="s">
        <v>519</v>
      </c>
      <c r="C75" s="311"/>
      <c r="D75" s="341"/>
      <c r="E75" s="379"/>
      <c r="F75" s="317"/>
      <c r="G75" s="329"/>
    </row>
    <row r="76" spans="1:7" s="306" customFormat="1" x14ac:dyDescent="0.35">
      <c r="A76" s="314"/>
      <c r="B76" s="310" t="s">
        <v>520</v>
      </c>
      <c r="C76" s="311"/>
      <c r="D76" s="341"/>
      <c r="E76" s="379"/>
      <c r="F76" s="317"/>
      <c r="G76" s="329"/>
    </row>
    <row r="77" spans="1:7" s="306" customFormat="1" x14ac:dyDescent="0.35">
      <c r="A77" s="314"/>
      <c r="B77" s="310" t="s">
        <v>521</v>
      </c>
      <c r="C77" s="311"/>
      <c r="D77" s="341"/>
      <c r="E77" s="379"/>
      <c r="F77" s="317"/>
      <c r="G77" s="329"/>
    </row>
    <row r="78" spans="1:7" ht="26.25" customHeight="1" x14ac:dyDescent="0.35">
      <c r="A78" s="630" t="s">
        <v>207</v>
      </c>
      <c r="B78" s="631"/>
      <c r="C78" s="318"/>
      <c r="D78" s="579"/>
      <c r="E78" s="380"/>
      <c r="F78" s="317"/>
      <c r="G78" s="473"/>
    </row>
    <row r="79" spans="1:7" ht="30.75" customHeight="1" x14ac:dyDescent="0.35">
      <c r="A79" s="160" t="s">
        <v>338</v>
      </c>
      <c r="B79" s="506" t="s">
        <v>259</v>
      </c>
      <c r="C79" s="506"/>
      <c r="D79" s="264" t="b">
        <v>0</v>
      </c>
      <c r="E79" s="380">
        <v>10</v>
      </c>
      <c r="F79" s="317">
        <f t="shared" ref="F79:F89" si="2">IF(D79,E79,0)</f>
        <v>0</v>
      </c>
      <c r="G79" s="483"/>
    </row>
    <row r="80" spans="1:7" ht="24" customHeight="1" x14ac:dyDescent="0.35">
      <c r="A80" s="160"/>
      <c r="B80" s="506"/>
      <c r="C80" s="506"/>
      <c r="D80" s="324" t="s">
        <v>332</v>
      </c>
      <c r="E80" s="380"/>
      <c r="F80" s="317"/>
      <c r="G80" s="483"/>
    </row>
    <row r="81" spans="1:10" ht="22.5" customHeight="1" x14ac:dyDescent="0.35">
      <c r="A81" s="160" t="s">
        <v>71</v>
      </c>
      <c r="B81" s="325" t="s">
        <v>208</v>
      </c>
      <c r="C81" s="319">
        <v>1</v>
      </c>
      <c r="D81" s="265" t="b">
        <v>0</v>
      </c>
      <c r="E81" s="380">
        <v>10</v>
      </c>
      <c r="F81" s="317">
        <f t="shared" si="2"/>
        <v>0</v>
      </c>
      <c r="G81" s="483"/>
      <c r="I81" s="140">
        <f>IF(D81,1,0)</f>
        <v>0</v>
      </c>
    </row>
    <row r="82" spans="1:10" ht="30" customHeight="1" x14ac:dyDescent="0.35">
      <c r="A82" s="169"/>
      <c r="B82" s="172"/>
      <c r="C82" s="320" t="s">
        <v>191</v>
      </c>
      <c r="D82" s="265" t="b">
        <v>0</v>
      </c>
      <c r="E82" s="401">
        <f>0.85*E81</f>
        <v>8.5</v>
      </c>
      <c r="F82" s="317">
        <f t="shared" si="2"/>
        <v>0</v>
      </c>
      <c r="G82" s="483"/>
      <c r="H82" s="287" t="str">
        <f>IF(J83&gt;1,"Entry error, select one answer","")</f>
        <v/>
      </c>
      <c r="I82" s="140">
        <f t="shared" ref="I82:I83" si="3">IF(D82,1,0)</f>
        <v>0</v>
      </c>
    </row>
    <row r="83" spans="1:10" ht="22.5" customHeight="1" x14ac:dyDescent="0.35">
      <c r="A83" s="169"/>
      <c r="B83" s="506"/>
      <c r="C83" s="320" t="s">
        <v>192</v>
      </c>
      <c r="D83" s="265" t="b">
        <v>0</v>
      </c>
      <c r="E83" s="401">
        <f>E81*0.75</f>
        <v>7.5</v>
      </c>
      <c r="F83" s="317">
        <f t="shared" si="2"/>
        <v>0</v>
      </c>
      <c r="G83" s="483"/>
      <c r="I83" s="140">
        <f t="shared" si="3"/>
        <v>0</v>
      </c>
      <c r="J83" s="140">
        <f>SUM(I81:I83)</f>
        <v>0</v>
      </c>
    </row>
    <row r="84" spans="1:10" ht="24" customHeight="1" x14ac:dyDescent="0.35">
      <c r="A84" s="160" t="s">
        <v>194</v>
      </c>
      <c r="B84" s="506" t="s">
        <v>260</v>
      </c>
      <c r="C84" s="506"/>
      <c r="D84" s="265" t="b">
        <v>0</v>
      </c>
      <c r="E84" s="380">
        <v>10</v>
      </c>
      <c r="F84" s="317">
        <f t="shared" si="2"/>
        <v>0</v>
      </c>
      <c r="G84" s="483"/>
    </row>
    <row r="85" spans="1:10" ht="24" customHeight="1" x14ac:dyDescent="0.35">
      <c r="A85" s="160"/>
      <c r="B85" s="506"/>
      <c r="C85" s="506"/>
      <c r="D85" s="324" t="s">
        <v>332</v>
      </c>
      <c r="E85" s="380"/>
      <c r="F85" s="317"/>
      <c r="G85" s="483"/>
    </row>
    <row r="86" spans="1:10" ht="21.75" customHeight="1" x14ac:dyDescent="0.35">
      <c r="A86" s="160" t="s">
        <v>195</v>
      </c>
      <c r="B86" s="325" t="s">
        <v>202</v>
      </c>
      <c r="C86" s="319">
        <v>1</v>
      </c>
      <c r="D86" s="265" t="b">
        <v>0</v>
      </c>
      <c r="E86" s="381">
        <v>10</v>
      </c>
      <c r="F86" s="317">
        <f t="shared" si="2"/>
        <v>0</v>
      </c>
      <c r="G86" s="483"/>
      <c r="I86" s="140">
        <f>IF(D86,1,0)</f>
        <v>0</v>
      </c>
    </row>
    <row r="87" spans="1:10" ht="28" customHeight="1" x14ac:dyDescent="0.35">
      <c r="A87" s="169"/>
      <c r="B87" s="172"/>
      <c r="C87" s="320" t="s">
        <v>191</v>
      </c>
      <c r="D87" s="265" t="b">
        <v>0</v>
      </c>
      <c r="E87" s="402">
        <f>0.85*E86</f>
        <v>8.5</v>
      </c>
      <c r="F87" s="317">
        <f t="shared" si="2"/>
        <v>0</v>
      </c>
      <c r="G87" s="483"/>
      <c r="H87" s="287" t="str">
        <f>IF(J88&gt;1,"Entry error, select one answer","")</f>
        <v/>
      </c>
      <c r="I87" s="140">
        <f t="shared" ref="I87:I88" si="4">IF(D87,1,0)</f>
        <v>0</v>
      </c>
    </row>
    <row r="88" spans="1:10" ht="24" customHeight="1" x14ac:dyDescent="0.35">
      <c r="A88" s="169"/>
      <c r="B88" s="506"/>
      <c r="C88" s="320" t="s">
        <v>192</v>
      </c>
      <c r="D88" s="273" t="b">
        <v>0</v>
      </c>
      <c r="E88" s="401">
        <f>E86*0.75</f>
        <v>7.5</v>
      </c>
      <c r="F88" s="317">
        <f t="shared" si="2"/>
        <v>0</v>
      </c>
      <c r="G88" s="483"/>
      <c r="I88" s="140">
        <f t="shared" si="4"/>
        <v>0</v>
      </c>
      <c r="J88" s="140">
        <f>SUM(I86:I88)</f>
        <v>0</v>
      </c>
    </row>
    <row r="89" spans="1:10" customFormat="1" ht="37.5" customHeight="1" x14ac:dyDescent="0.35">
      <c r="A89" s="35" t="s">
        <v>196</v>
      </c>
      <c r="B89" s="565" t="s">
        <v>237</v>
      </c>
      <c r="C89" s="503"/>
      <c r="D89" s="508" t="b">
        <v>0</v>
      </c>
      <c r="E89" s="382">
        <v>10</v>
      </c>
      <c r="F89" s="317">
        <f t="shared" si="2"/>
        <v>0</v>
      </c>
      <c r="G89" s="483"/>
    </row>
    <row r="90" spans="1:10" ht="21.75" customHeight="1" x14ac:dyDescent="0.35">
      <c r="A90" s="605" t="s">
        <v>203</v>
      </c>
      <c r="B90" s="632"/>
      <c r="C90" s="507"/>
      <c r="D90" s="265"/>
      <c r="E90" s="382"/>
      <c r="F90" s="317"/>
      <c r="G90" s="473"/>
    </row>
    <row r="91" spans="1:10" ht="30" customHeight="1" x14ac:dyDescent="0.35">
      <c r="A91" s="35"/>
      <c r="B91" s="507" t="s">
        <v>204</v>
      </c>
      <c r="C91" s="507"/>
      <c r="D91" s="326"/>
      <c r="E91" s="382"/>
      <c r="F91" s="317"/>
      <c r="G91" s="473"/>
    </row>
    <row r="92" spans="1:10" ht="37.5" customHeight="1" x14ac:dyDescent="0.35">
      <c r="A92" s="35" t="s">
        <v>339</v>
      </c>
      <c r="B92" s="504" t="s">
        <v>205</v>
      </c>
      <c r="C92" s="505"/>
      <c r="D92" s="580" t="b">
        <v>0</v>
      </c>
      <c r="E92" s="382">
        <v>5</v>
      </c>
      <c r="F92" s="317">
        <f t="shared" ref="F92:F93" si="5">IF(D92,E92,0)</f>
        <v>0</v>
      </c>
      <c r="G92" s="483"/>
    </row>
    <row r="93" spans="1:10" ht="37.5" customHeight="1" x14ac:dyDescent="0.35">
      <c r="A93" s="35" t="s">
        <v>522</v>
      </c>
      <c r="B93" s="504" t="s">
        <v>206</v>
      </c>
      <c r="C93" s="581"/>
      <c r="D93" s="580" t="b">
        <v>0</v>
      </c>
      <c r="E93" s="382">
        <v>5</v>
      </c>
      <c r="F93" s="317">
        <f t="shared" si="5"/>
        <v>0</v>
      </c>
      <c r="G93" s="483"/>
    </row>
    <row r="94" spans="1:10" ht="37.5" customHeight="1" x14ac:dyDescent="0.35">
      <c r="A94" s="35" t="s">
        <v>523</v>
      </c>
      <c r="B94" s="581" t="s">
        <v>526</v>
      </c>
      <c r="C94" s="581"/>
      <c r="D94" s="580" t="b">
        <v>0</v>
      </c>
      <c r="E94" s="382">
        <v>5</v>
      </c>
      <c r="F94" s="317">
        <v>0</v>
      </c>
      <c r="G94" s="483"/>
    </row>
    <row r="95" spans="1:10" ht="37.5" customHeight="1" thickBot="1" x14ac:dyDescent="0.4">
      <c r="A95" s="35" t="s">
        <v>524</v>
      </c>
      <c r="B95" s="504" t="s">
        <v>525</v>
      </c>
      <c r="C95" s="581"/>
      <c r="D95" s="580" t="b">
        <v>0</v>
      </c>
      <c r="E95" s="382">
        <v>5</v>
      </c>
      <c r="F95" s="317">
        <f t="shared" ref="F95" si="6">IF(D95,E95,0)</f>
        <v>0</v>
      </c>
      <c r="G95" s="483"/>
    </row>
    <row r="96" spans="1:10" ht="16.5" thickTop="1" thickBot="1" x14ac:dyDescent="0.4">
      <c r="A96" s="194"/>
      <c r="B96" s="397"/>
      <c r="C96" s="398"/>
      <c r="D96" s="398"/>
      <c r="G96" s="304"/>
    </row>
    <row r="97" spans="2:7" ht="16" thickBot="1" x14ac:dyDescent="0.4">
      <c r="B97" s="623" t="s">
        <v>32</v>
      </c>
      <c r="C97" s="624"/>
      <c r="D97" s="327">
        <f>F97/E97</f>
        <v>0</v>
      </c>
      <c r="E97" s="189">
        <f>IF(shiptypenum&lt;5,SUM(E92:E95)+E81+E84+E86+E89+SUM(E8:E79),IF(shiptypenum=8,SUM(E92:E95)+E81+E84+E86+E89+SUM(E8:E79),IF(shiptypenum&gt;10,SUM(E81+E84+E86+E89+SUM(E8:E79)),SUM(E81+E84+E86+E89+SUM(E92:E95)+SUM(E8:E79)))))</f>
        <v>139</v>
      </c>
      <c r="F97" s="189">
        <f>SUM(F8:F95)</f>
        <v>0</v>
      </c>
      <c r="G97" s="304"/>
    </row>
    <row r="98" spans="2:7" ht="16.5" customHeight="1" x14ac:dyDescent="0.35">
      <c r="G98" s="304"/>
    </row>
    <row r="99" spans="2:7" ht="16" thickBot="1" x14ac:dyDescent="0.4">
      <c r="G99" s="304"/>
    </row>
    <row r="100" spans="2:7" ht="96.75" customHeight="1" thickBot="1" x14ac:dyDescent="0.4">
      <c r="B100" s="618" t="s">
        <v>48</v>
      </c>
      <c r="C100" s="621"/>
      <c r="D100" s="622"/>
      <c r="G100" s="304"/>
    </row>
    <row r="101" spans="2:7" x14ac:dyDescent="0.35">
      <c r="G101" s="304"/>
    </row>
    <row r="102" spans="2:7" x14ac:dyDescent="0.35">
      <c r="G102" s="304"/>
    </row>
    <row r="103" spans="2:7" x14ac:dyDescent="0.35">
      <c r="G103" s="304"/>
    </row>
  </sheetData>
  <mergeCells count="7">
    <mergeCell ref="A78:B78"/>
    <mergeCell ref="A90:B90"/>
    <mergeCell ref="B97:C97"/>
    <mergeCell ref="B100:D100"/>
    <mergeCell ref="A4:C4"/>
    <mergeCell ref="A5:C5"/>
    <mergeCell ref="A6:B6"/>
  </mergeCells>
  <phoneticPr fontId="16" type="noConversion"/>
  <conditionalFormatting sqref="H87">
    <cfRule type="expression" dxfId="7" priority="2">
      <formula>J88&gt;1</formula>
    </cfRule>
  </conditionalFormatting>
  <conditionalFormatting sqref="H82">
    <cfRule type="expression" dxfId="6" priority="1">
      <formula>J83&gt;1</formula>
    </cfRule>
  </conditionalFormatting>
  <pageMargins left="0.7" right="0.7" top="0.75" bottom="0.75" header="0.3" footer="0.3"/>
  <pageSetup scale="49"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47" r:id="rId4" name="Check Box 2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6" r:id="rId5" name="Check Box 96">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7" r:id="rId6" name="Check Box 9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8" r:id="rId7" name="Check Box 98">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9" r:id="rId8" name="Check Box 99">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0" r:id="rId9" name="Check Box 100">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1" r:id="rId10" name="Check Box 101">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2" r:id="rId11" name="Check Box 102">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3" r:id="rId12" name="Check Box 103">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4" r:id="rId13" name="Check Box 104">
              <controlPr defaultSize="0" autoFill="0" autoLine="0" autoPict="0">
                <anchor moveWithCells="1">
                  <from>
                    <xdr:col>3</xdr:col>
                    <xdr:colOff>425450</xdr:colOff>
                    <xdr:row>77</xdr:row>
                    <xdr:rowOff>304800</xdr:rowOff>
                  </from>
                  <to>
                    <xdr:col>3</xdr:col>
                    <xdr:colOff>615950</xdr:colOff>
                    <xdr:row>78</xdr:row>
                    <xdr:rowOff>279400</xdr:rowOff>
                  </to>
                </anchor>
              </controlPr>
            </control>
          </mc:Choice>
        </mc:AlternateContent>
        <mc:AlternateContent xmlns:mc="http://schemas.openxmlformats.org/markup-compatibility/2006">
          <mc:Choice Requires="x14">
            <control shapeId="56425" r:id="rId14" name="Check Box 105">
              <controlPr defaultSize="0" autoFill="0" autoLine="0" autoPict="0">
                <anchor moveWithCells="1">
                  <from>
                    <xdr:col>3</xdr:col>
                    <xdr:colOff>412750</xdr:colOff>
                    <xdr:row>80</xdr:row>
                    <xdr:rowOff>38100</xdr:rowOff>
                  </from>
                  <to>
                    <xdr:col>3</xdr:col>
                    <xdr:colOff>622300</xdr:colOff>
                    <xdr:row>80</xdr:row>
                    <xdr:rowOff>234950</xdr:rowOff>
                  </to>
                </anchor>
              </controlPr>
            </control>
          </mc:Choice>
        </mc:AlternateContent>
        <mc:AlternateContent xmlns:mc="http://schemas.openxmlformats.org/markup-compatibility/2006">
          <mc:Choice Requires="x14">
            <control shapeId="56426" r:id="rId15" name="Check Box 106">
              <controlPr defaultSize="0" autoFill="0" autoLine="0" autoPict="0">
                <anchor moveWithCells="1">
                  <from>
                    <xdr:col>3</xdr:col>
                    <xdr:colOff>400050</xdr:colOff>
                    <xdr:row>81</xdr:row>
                    <xdr:rowOff>69850</xdr:rowOff>
                  </from>
                  <to>
                    <xdr:col>3</xdr:col>
                    <xdr:colOff>647700</xdr:colOff>
                    <xdr:row>82</xdr:row>
                    <xdr:rowOff>6350</xdr:rowOff>
                  </to>
                </anchor>
              </controlPr>
            </control>
          </mc:Choice>
        </mc:AlternateContent>
        <mc:AlternateContent xmlns:mc="http://schemas.openxmlformats.org/markup-compatibility/2006">
          <mc:Choice Requires="x14">
            <control shapeId="56427" r:id="rId16" name="Check Box 107">
              <controlPr defaultSize="0" autoFill="0" autoLine="0" autoPict="0">
                <anchor moveWithCells="1">
                  <from>
                    <xdr:col>3</xdr:col>
                    <xdr:colOff>400050</xdr:colOff>
                    <xdr:row>82</xdr:row>
                    <xdr:rowOff>6350</xdr:rowOff>
                  </from>
                  <to>
                    <xdr:col>3</xdr:col>
                    <xdr:colOff>615950</xdr:colOff>
                    <xdr:row>82</xdr:row>
                    <xdr:rowOff>266700</xdr:rowOff>
                  </to>
                </anchor>
              </controlPr>
            </control>
          </mc:Choice>
        </mc:AlternateContent>
        <mc:AlternateContent xmlns:mc="http://schemas.openxmlformats.org/markup-compatibility/2006">
          <mc:Choice Requires="x14">
            <control shapeId="56428" r:id="rId17" name="Check Box 108">
              <controlPr defaultSize="0" autoFill="0" autoLine="0" autoPict="0">
                <anchor moveWithCells="1">
                  <from>
                    <xdr:col>3</xdr:col>
                    <xdr:colOff>406400</xdr:colOff>
                    <xdr:row>83</xdr:row>
                    <xdr:rowOff>19050</xdr:rowOff>
                  </from>
                  <to>
                    <xdr:col>3</xdr:col>
                    <xdr:colOff>654050</xdr:colOff>
                    <xdr:row>83</xdr:row>
                    <xdr:rowOff>247650</xdr:rowOff>
                  </to>
                </anchor>
              </controlPr>
            </control>
          </mc:Choice>
        </mc:AlternateContent>
        <mc:AlternateContent xmlns:mc="http://schemas.openxmlformats.org/markup-compatibility/2006">
          <mc:Choice Requires="x14">
            <control shapeId="56429" r:id="rId18" name="Check Box 109">
              <controlPr defaultSize="0" autoFill="0" autoLine="0" autoPict="0">
                <anchor moveWithCells="1">
                  <from>
                    <xdr:col>3</xdr:col>
                    <xdr:colOff>412750</xdr:colOff>
                    <xdr:row>85</xdr:row>
                    <xdr:rowOff>31750</xdr:rowOff>
                  </from>
                  <to>
                    <xdr:col>3</xdr:col>
                    <xdr:colOff>641350</xdr:colOff>
                    <xdr:row>86</xdr:row>
                    <xdr:rowOff>12700</xdr:rowOff>
                  </to>
                </anchor>
              </controlPr>
            </control>
          </mc:Choice>
        </mc:AlternateContent>
        <mc:AlternateContent xmlns:mc="http://schemas.openxmlformats.org/markup-compatibility/2006">
          <mc:Choice Requires="x14">
            <control shapeId="56430" r:id="rId19" name="Check Box 110">
              <controlPr defaultSize="0" autoFill="0" autoLine="0" autoPict="0">
                <anchor moveWithCells="1">
                  <from>
                    <xdr:col>3</xdr:col>
                    <xdr:colOff>406400</xdr:colOff>
                    <xdr:row>86</xdr:row>
                    <xdr:rowOff>69850</xdr:rowOff>
                  </from>
                  <to>
                    <xdr:col>3</xdr:col>
                    <xdr:colOff>641350</xdr:colOff>
                    <xdr:row>87</xdr:row>
                    <xdr:rowOff>6350</xdr:rowOff>
                  </to>
                </anchor>
              </controlPr>
            </control>
          </mc:Choice>
        </mc:AlternateContent>
        <mc:AlternateContent xmlns:mc="http://schemas.openxmlformats.org/markup-compatibility/2006">
          <mc:Choice Requires="x14">
            <control shapeId="56431" r:id="rId20" name="Check Box 111">
              <controlPr defaultSize="0" autoFill="0" autoLine="0" autoPict="0">
                <anchor moveWithCells="1">
                  <from>
                    <xdr:col>3</xdr:col>
                    <xdr:colOff>406400</xdr:colOff>
                    <xdr:row>87</xdr:row>
                    <xdr:rowOff>31750</xdr:rowOff>
                  </from>
                  <to>
                    <xdr:col>3</xdr:col>
                    <xdr:colOff>577850</xdr:colOff>
                    <xdr:row>87</xdr:row>
                    <xdr:rowOff>184150</xdr:rowOff>
                  </to>
                </anchor>
              </controlPr>
            </control>
          </mc:Choice>
        </mc:AlternateContent>
        <mc:AlternateContent xmlns:mc="http://schemas.openxmlformats.org/markup-compatibility/2006">
          <mc:Choice Requires="x14">
            <control shapeId="56432" r:id="rId21" name="Check Box 112">
              <controlPr defaultSize="0" autoFill="0" autoLine="0" autoPict="0">
                <anchor moveWithCells="1">
                  <from>
                    <xdr:col>3</xdr:col>
                    <xdr:colOff>406400</xdr:colOff>
                    <xdr:row>88</xdr:row>
                    <xdr:rowOff>57150</xdr:rowOff>
                  </from>
                  <to>
                    <xdr:col>3</xdr:col>
                    <xdr:colOff>596900</xdr:colOff>
                    <xdr:row>88</xdr:row>
                    <xdr:rowOff>342900</xdr:rowOff>
                  </to>
                </anchor>
              </controlPr>
            </control>
          </mc:Choice>
        </mc:AlternateContent>
        <mc:AlternateContent xmlns:mc="http://schemas.openxmlformats.org/markup-compatibility/2006">
          <mc:Choice Requires="x14">
            <control shapeId="56433" r:id="rId22" name="Check Box 113">
              <controlPr defaultSize="0" autoFill="0" autoLine="0" autoPict="0">
                <anchor moveWithCells="1">
                  <from>
                    <xdr:col>3</xdr:col>
                    <xdr:colOff>158750</xdr:colOff>
                    <xdr:row>8</xdr:row>
                    <xdr:rowOff>6350</xdr:rowOff>
                  </from>
                  <to>
                    <xdr:col>3</xdr:col>
                    <xdr:colOff>311150</xdr:colOff>
                    <xdr:row>8</xdr:row>
                    <xdr:rowOff>177800</xdr:rowOff>
                  </to>
                </anchor>
              </controlPr>
            </control>
          </mc:Choice>
        </mc:AlternateContent>
        <mc:AlternateContent xmlns:mc="http://schemas.openxmlformats.org/markup-compatibility/2006">
          <mc:Choice Requires="x14">
            <control shapeId="56434" r:id="rId23" name="Check Box 114">
              <controlPr defaultSize="0" autoFill="0" autoLine="0" autoPict="0">
                <anchor moveWithCells="1">
                  <from>
                    <xdr:col>3</xdr:col>
                    <xdr:colOff>171450</xdr:colOff>
                    <xdr:row>11</xdr:row>
                    <xdr:rowOff>190500</xdr:rowOff>
                  </from>
                  <to>
                    <xdr:col>3</xdr:col>
                    <xdr:colOff>336550</xdr:colOff>
                    <xdr:row>12</xdr:row>
                    <xdr:rowOff>190500</xdr:rowOff>
                  </to>
                </anchor>
              </controlPr>
            </control>
          </mc:Choice>
        </mc:AlternateContent>
        <mc:AlternateContent xmlns:mc="http://schemas.openxmlformats.org/markup-compatibility/2006">
          <mc:Choice Requires="x14">
            <control shapeId="56435" r:id="rId24" name="Check Box 115">
              <controlPr defaultSize="0" autoFill="0" autoLine="0" autoPict="0">
                <anchor moveWithCells="1">
                  <from>
                    <xdr:col>3</xdr:col>
                    <xdr:colOff>177800</xdr:colOff>
                    <xdr:row>15</xdr:row>
                    <xdr:rowOff>12700</xdr:rowOff>
                  </from>
                  <to>
                    <xdr:col>3</xdr:col>
                    <xdr:colOff>342900</xdr:colOff>
                    <xdr:row>15</xdr:row>
                    <xdr:rowOff>190500</xdr:rowOff>
                  </to>
                </anchor>
              </controlPr>
            </control>
          </mc:Choice>
        </mc:AlternateContent>
        <mc:AlternateContent xmlns:mc="http://schemas.openxmlformats.org/markup-compatibility/2006">
          <mc:Choice Requires="x14">
            <control shapeId="56436" r:id="rId25" name="Check Box 116">
              <controlPr defaultSize="0" autoFill="0" autoLine="0" autoPict="0">
                <anchor moveWithCells="1">
                  <from>
                    <xdr:col>3</xdr:col>
                    <xdr:colOff>476250</xdr:colOff>
                    <xdr:row>28</xdr:row>
                    <xdr:rowOff>88900</xdr:rowOff>
                  </from>
                  <to>
                    <xdr:col>3</xdr:col>
                    <xdr:colOff>666750</xdr:colOff>
                    <xdr:row>28</xdr:row>
                    <xdr:rowOff>336550</xdr:rowOff>
                  </to>
                </anchor>
              </controlPr>
            </control>
          </mc:Choice>
        </mc:AlternateContent>
        <mc:AlternateContent xmlns:mc="http://schemas.openxmlformats.org/markup-compatibility/2006">
          <mc:Choice Requires="x14">
            <control shapeId="56437" r:id="rId26" name="Check Box 117">
              <controlPr defaultSize="0" autoFill="0" autoLine="0" autoPict="0">
                <anchor moveWithCells="1">
                  <from>
                    <xdr:col>3</xdr:col>
                    <xdr:colOff>196850</xdr:colOff>
                    <xdr:row>64</xdr:row>
                    <xdr:rowOff>139700</xdr:rowOff>
                  </from>
                  <to>
                    <xdr:col>3</xdr:col>
                    <xdr:colOff>463550</xdr:colOff>
                    <xdr:row>64</xdr:row>
                    <xdr:rowOff>298450</xdr:rowOff>
                  </to>
                </anchor>
              </controlPr>
            </control>
          </mc:Choice>
        </mc:AlternateContent>
        <mc:AlternateContent xmlns:mc="http://schemas.openxmlformats.org/markup-compatibility/2006">
          <mc:Choice Requires="x14">
            <control shapeId="56438" r:id="rId27" name="Check Box 118">
              <controlPr defaultSize="0" autoFill="0" autoLine="0" autoPict="0">
                <anchor moveWithCells="1">
                  <from>
                    <xdr:col>3</xdr:col>
                    <xdr:colOff>177800</xdr:colOff>
                    <xdr:row>66</xdr:row>
                    <xdr:rowOff>57150</xdr:rowOff>
                  </from>
                  <to>
                    <xdr:col>3</xdr:col>
                    <xdr:colOff>450850</xdr:colOff>
                    <xdr:row>66</xdr:row>
                    <xdr:rowOff>254000</xdr:rowOff>
                  </to>
                </anchor>
              </controlPr>
            </control>
          </mc:Choice>
        </mc:AlternateContent>
        <mc:AlternateContent xmlns:mc="http://schemas.openxmlformats.org/markup-compatibility/2006">
          <mc:Choice Requires="x14">
            <control shapeId="56439" r:id="rId28" name="Check Box 119">
              <controlPr defaultSize="0" autoFill="0" autoLine="0" autoPict="0">
                <anchor moveWithCells="1">
                  <from>
                    <xdr:col>3</xdr:col>
                    <xdr:colOff>355600</xdr:colOff>
                    <xdr:row>91</xdr:row>
                    <xdr:rowOff>171450</xdr:rowOff>
                  </from>
                  <to>
                    <xdr:col>3</xdr:col>
                    <xdr:colOff>520700</xdr:colOff>
                    <xdr:row>91</xdr:row>
                    <xdr:rowOff>425450</xdr:rowOff>
                  </to>
                </anchor>
              </controlPr>
            </control>
          </mc:Choice>
        </mc:AlternateContent>
        <mc:AlternateContent xmlns:mc="http://schemas.openxmlformats.org/markup-compatibility/2006">
          <mc:Choice Requires="x14">
            <control shapeId="56440" r:id="rId29" name="Check Box 120">
              <controlPr defaultSize="0" autoFill="0" autoLine="0" autoPict="0">
                <anchor moveWithCells="1">
                  <from>
                    <xdr:col>3</xdr:col>
                    <xdr:colOff>336550</xdr:colOff>
                    <xdr:row>92</xdr:row>
                    <xdr:rowOff>177800</xdr:rowOff>
                  </from>
                  <to>
                    <xdr:col>3</xdr:col>
                    <xdr:colOff>501650</xdr:colOff>
                    <xdr:row>92</xdr:row>
                    <xdr:rowOff>450850</xdr:rowOff>
                  </to>
                </anchor>
              </controlPr>
            </control>
          </mc:Choice>
        </mc:AlternateContent>
        <mc:AlternateContent xmlns:mc="http://schemas.openxmlformats.org/markup-compatibility/2006">
          <mc:Choice Requires="x14">
            <control shapeId="56442" r:id="rId30" name="Check Box 122">
              <controlPr defaultSize="0" autoFill="0" autoLine="0" autoPict="0">
                <anchor moveWithCells="1">
                  <from>
                    <xdr:col>3</xdr:col>
                    <xdr:colOff>336550</xdr:colOff>
                    <xdr:row>93</xdr:row>
                    <xdr:rowOff>165100</xdr:rowOff>
                  </from>
                  <to>
                    <xdr:col>3</xdr:col>
                    <xdr:colOff>514350</xdr:colOff>
                    <xdr:row>93</xdr:row>
                    <xdr:rowOff>387350</xdr:rowOff>
                  </to>
                </anchor>
              </controlPr>
            </control>
          </mc:Choice>
        </mc:AlternateContent>
        <mc:AlternateContent xmlns:mc="http://schemas.openxmlformats.org/markup-compatibility/2006">
          <mc:Choice Requires="x14">
            <control shapeId="56443" r:id="rId31" name="Check Box 123">
              <controlPr defaultSize="0" autoFill="0" autoLine="0" autoPict="0">
                <anchor moveWithCells="1">
                  <from>
                    <xdr:col>3</xdr:col>
                    <xdr:colOff>342900</xdr:colOff>
                    <xdr:row>94</xdr:row>
                    <xdr:rowOff>120650</xdr:rowOff>
                  </from>
                  <to>
                    <xdr:col>3</xdr:col>
                    <xdr:colOff>514350</xdr:colOff>
                    <xdr:row>94</xdr:row>
                    <xdr:rowOff>349250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35"/>
  <sheetViews>
    <sheetView zoomScaleNormal="100" zoomScaleSheetLayoutView="100" workbookViewId="0">
      <selection activeCell="G7" sqref="G7:G23"/>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586" t="s">
        <v>1</v>
      </c>
      <c r="B1" s="586"/>
      <c r="C1" s="586"/>
      <c r="G1" s="463" t="s">
        <v>414</v>
      </c>
    </row>
    <row r="2" spans="1:10" x14ac:dyDescent="0.35">
      <c r="A2" s="42"/>
      <c r="B2" s="42"/>
      <c r="C2" s="500" t="s">
        <v>473</v>
      </c>
      <c r="G2" s="464" t="str">
        <f>VLOOKUP(shiptypenum,shiptbl,2,FALSE)</f>
        <v>LSD</v>
      </c>
    </row>
    <row r="3" spans="1:10" ht="18.75" customHeight="1" x14ac:dyDescent="0.35">
      <c r="A3" s="53" t="s">
        <v>44</v>
      </c>
      <c r="B3" s="7"/>
      <c r="C3" s="7"/>
    </row>
    <row r="4" spans="1:10" ht="36.75" customHeight="1" x14ac:dyDescent="0.35">
      <c r="A4" s="209"/>
      <c r="B4" s="71" t="s">
        <v>483</v>
      </c>
      <c r="C4" s="71"/>
      <c r="D4" s="50"/>
      <c r="E4" s="50"/>
      <c r="F4" s="50"/>
      <c r="G4" s="474"/>
    </row>
    <row r="5" spans="1:10" ht="36.75" customHeight="1" x14ac:dyDescent="0.35">
      <c r="B5" s="639" t="s">
        <v>482</v>
      </c>
      <c r="C5" s="639"/>
      <c r="D5" s="72"/>
    </row>
    <row r="6" spans="1:10" ht="36.75" customHeight="1" thickBot="1" x14ac:dyDescent="0.4">
      <c r="B6" s="71"/>
      <c r="C6" s="208"/>
      <c r="D6" s="72"/>
    </row>
    <row r="7" spans="1:10" ht="31.5" customHeight="1" thickTop="1" thickBot="1" x14ac:dyDescent="0.4">
      <c r="A7" s="61"/>
      <c r="B7" s="60"/>
      <c r="C7" s="23" t="s">
        <v>26</v>
      </c>
      <c r="D7" s="22" t="s">
        <v>24</v>
      </c>
      <c r="E7" s="22" t="s">
        <v>25</v>
      </c>
      <c r="F7" s="189" t="s">
        <v>128</v>
      </c>
      <c r="G7" s="483"/>
    </row>
    <row r="8" spans="1:10" ht="24" customHeight="1" thickTop="1" x14ac:dyDescent="0.35">
      <c r="A8" s="490" t="s">
        <v>226</v>
      </c>
      <c r="B8" s="499"/>
      <c r="C8" s="457"/>
      <c r="D8" s="22"/>
      <c r="E8" s="22"/>
      <c r="F8" s="22"/>
      <c r="G8" s="473"/>
    </row>
    <row r="9" spans="1:10" ht="54.75" customHeight="1" x14ac:dyDescent="0.35">
      <c r="A9" s="35" t="s">
        <v>2</v>
      </c>
      <c r="B9" s="210" t="s">
        <v>240</v>
      </c>
      <c r="C9" s="264" t="b">
        <v>0</v>
      </c>
      <c r="D9" s="22">
        <v>10</v>
      </c>
      <c r="E9" s="22">
        <f t="shared" ref="E9" si="0">IF(C9,D9,0)</f>
        <v>0</v>
      </c>
      <c r="F9" s="25"/>
      <c r="G9" s="483"/>
    </row>
    <row r="10" spans="1:10" ht="21.75" customHeight="1" x14ac:dyDescent="0.35">
      <c r="A10" s="196" t="s">
        <v>242</v>
      </c>
      <c r="B10" s="151"/>
      <c r="C10" s="285"/>
      <c r="E10" s="22"/>
      <c r="F10" s="25"/>
      <c r="G10" s="473"/>
    </row>
    <row r="11" spans="1:10" ht="51" customHeight="1" x14ac:dyDescent="0.35">
      <c r="A11" s="35" t="s">
        <v>3</v>
      </c>
      <c r="B11" s="45" t="s">
        <v>243</v>
      </c>
      <c r="C11" s="264" t="b">
        <v>0</v>
      </c>
      <c r="D11" s="22">
        <v>8</v>
      </c>
      <c r="E11" s="22">
        <f>IF(C11,D11,0)</f>
        <v>0</v>
      </c>
      <c r="F11" s="25"/>
      <c r="G11" s="483"/>
      <c r="I11" s="144"/>
    </row>
    <row r="12" spans="1:10" ht="55.5" customHeight="1" x14ac:dyDescent="0.35">
      <c r="A12" s="35" t="s">
        <v>33</v>
      </c>
      <c r="B12" s="45" t="s">
        <v>244</v>
      </c>
      <c r="C12" s="264" t="b">
        <v>0</v>
      </c>
      <c r="D12" s="22">
        <v>8</v>
      </c>
      <c r="E12" s="22">
        <f>IF(C12,D12,0)</f>
        <v>0</v>
      </c>
      <c r="F12" s="25"/>
      <c r="G12" s="483"/>
    </row>
    <row r="13" spans="1:10" ht="48.75" customHeight="1" x14ac:dyDescent="0.35">
      <c r="A13" s="35"/>
      <c r="B13" s="56" t="s">
        <v>210</v>
      </c>
      <c r="C13" s="458" t="s">
        <v>469</v>
      </c>
      <c r="D13" s="22"/>
      <c r="E13" s="22"/>
      <c r="F13" s="25"/>
      <c r="G13" s="483"/>
    </row>
    <row r="14" spans="1:10" ht="42" customHeight="1" x14ac:dyDescent="0.35">
      <c r="A14" s="35" t="s">
        <v>34</v>
      </c>
      <c r="B14" s="200" t="s">
        <v>484</v>
      </c>
      <c r="C14" s="264" t="b">
        <v>0</v>
      </c>
      <c r="D14" s="22">
        <v>10</v>
      </c>
      <c r="E14" s="22">
        <f>IF(C14,D14,0)</f>
        <v>0</v>
      </c>
      <c r="F14" s="25"/>
      <c r="G14" s="483"/>
      <c r="I14">
        <f>IF(C14,1,0)</f>
        <v>0</v>
      </c>
    </row>
    <row r="15" spans="1:10" ht="41.25" customHeight="1" x14ac:dyDescent="0.35">
      <c r="A15" s="35"/>
      <c r="B15" s="200" t="s">
        <v>485</v>
      </c>
      <c r="C15" s="264" t="b">
        <v>0</v>
      </c>
      <c r="D15" s="22">
        <v>7.5</v>
      </c>
      <c r="E15" s="22">
        <f>IF(C15,D15,0)</f>
        <v>0</v>
      </c>
      <c r="F15" s="25"/>
      <c r="G15" s="483"/>
      <c r="H15" s="287" t="str">
        <f>IF(J15&gt;1,"Entry error, select one answer","")</f>
        <v/>
      </c>
      <c r="I15">
        <f>IF(C15,1,0)</f>
        <v>0</v>
      </c>
      <c r="J15">
        <f>SUM(I14:I15)</f>
        <v>0</v>
      </c>
    </row>
    <row r="16" spans="1:10" ht="41.25" customHeight="1" x14ac:dyDescent="0.35">
      <c r="A16" s="35"/>
      <c r="B16" s="478" t="s">
        <v>470</v>
      </c>
      <c r="C16" s="264" t="b">
        <v>0</v>
      </c>
      <c r="D16" s="22"/>
      <c r="E16" s="22"/>
      <c r="F16" s="199">
        <f>IF(C16,D18,0)</f>
        <v>0</v>
      </c>
      <c r="G16" s="483"/>
      <c r="I16">
        <f>IF(C16,1,0)</f>
        <v>0</v>
      </c>
    </row>
    <row r="17" spans="1:14" ht="24" customHeight="1" x14ac:dyDescent="0.35">
      <c r="A17" s="31"/>
      <c r="B17" s="282" t="s">
        <v>245</v>
      </c>
      <c r="C17" s="285"/>
      <c r="D17" s="22"/>
      <c r="E17" s="22"/>
      <c r="F17" s="25"/>
      <c r="G17" s="483"/>
    </row>
    <row r="18" spans="1:14" ht="55.5" customHeight="1" x14ac:dyDescent="0.35">
      <c r="A18" s="197" t="s">
        <v>4</v>
      </c>
      <c r="B18" s="283" t="s">
        <v>246</v>
      </c>
      <c r="C18" s="264" t="b">
        <v>0</v>
      </c>
      <c r="D18" s="22">
        <v>5</v>
      </c>
      <c r="E18" s="22">
        <f>IF(C18,D18,0)</f>
        <v>0</v>
      </c>
      <c r="F18" s="25"/>
      <c r="G18" s="483"/>
      <c r="H18" s="287" t="str">
        <f>IF(J18&gt;1,"Skip 5.1.5 if ship has a ship's store","")</f>
        <v/>
      </c>
      <c r="I18">
        <f>IF(C18,1,0)</f>
        <v>0</v>
      </c>
      <c r="J18">
        <f>SUM(I16:I18)</f>
        <v>0</v>
      </c>
    </row>
    <row r="19" spans="1:14" ht="31.5" customHeight="1" x14ac:dyDescent="0.35">
      <c r="A19" s="628" t="s">
        <v>209</v>
      </c>
      <c r="B19" s="629"/>
      <c r="C19" s="285"/>
      <c r="D19" s="22"/>
      <c r="E19" s="22"/>
      <c r="F19" s="22"/>
      <c r="G19" s="483"/>
    </row>
    <row r="20" spans="1:14" ht="45" customHeight="1" x14ac:dyDescent="0.35">
      <c r="A20" s="35" t="s">
        <v>5</v>
      </c>
      <c r="B20" s="489" t="s">
        <v>241</v>
      </c>
      <c r="C20" s="264" t="b">
        <v>0</v>
      </c>
      <c r="D20" s="22">
        <v>5</v>
      </c>
      <c r="E20" s="22">
        <f>IF(C20,D20,0)</f>
        <v>0</v>
      </c>
      <c r="F20" s="25"/>
      <c r="G20" s="483"/>
    </row>
    <row r="21" spans="1:14" ht="45" customHeight="1" thickBot="1" x14ac:dyDescent="0.4">
      <c r="A21" s="35" t="s">
        <v>6</v>
      </c>
      <c r="B21" s="489" t="s">
        <v>239</v>
      </c>
      <c r="C21" s="264" t="b">
        <v>0</v>
      </c>
      <c r="D21" s="22">
        <v>7</v>
      </c>
      <c r="E21" s="22">
        <f>IF(C21,D21,0)</f>
        <v>0</v>
      </c>
      <c r="F21" s="25"/>
      <c r="G21" s="483"/>
    </row>
    <row r="22" spans="1:14" ht="16.5" thickTop="1" thickBot="1" x14ac:dyDescent="0.4">
      <c r="A22" s="74"/>
      <c r="B22" s="399"/>
      <c r="C22" s="8"/>
      <c r="D22" s="22"/>
      <c r="E22" s="22"/>
      <c r="G22" s="484"/>
    </row>
    <row r="23" spans="1:14" ht="16" thickBot="1" x14ac:dyDescent="0.4">
      <c r="B23" s="10" t="s">
        <v>32</v>
      </c>
      <c r="C23" s="252">
        <f>E23/(D23-F23)</f>
        <v>0</v>
      </c>
      <c r="D23" s="22">
        <f>SUM(D18:D21)+D14+D12+D11+D9</f>
        <v>53</v>
      </c>
      <c r="E23" s="22">
        <f>SUM(E9:E21)</f>
        <v>0</v>
      </c>
      <c r="F23" s="22">
        <f>SUM(F9:F21)</f>
        <v>0</v>
      </c>
      <c r="G23" s="484"/>
    </row>
    <row r="24" spans="1:14" ht="16" thickBot="1" x14ac:dyDescent="0.4">
      <c r="G24" s="486"/>
    </row>
    <row r="25" spans="1:14" ht="150.75" customHeight="1" thickBot="1" x14ac:dyDescent="0.4">
      <c r="B25" s="635" t="s">
        <v>46</v>
      </c>
      <c r="C25" s="636"/>
      <c r="G25" s="486"/>
    </row>
    <row r="26" spans="1:14" x14ac:dyDescent="0.35">
      <c r="C26" s="14"/>
    </row>
    <row r="27" spans="1:14" x14ac:dyDescent="0.35">
      <c r="B27" s="15"/>
      <c r="C27" s="14"/>
    </row>
    <row r="28" spans="1:14" ht="14.5" x14ac:dyDescent="0.35">
      <c r="A28" s="637"/>
      <c r="B28" s="638"/>
      <c r="C28" s="638"/>
      <c r="D28" s="638"/>
      <c r="E28" s="638"/>
      <c r="F28" s="638"/>
      <c r="G28" s="638"/>
      <c r="H28" s="638"/>
      <c r="I28" s="638"/>
      <c r="J28" s="638"/>
      <c r="K28" s="638"/>
      <c r="L28" s="638"/>
      <c r="M28" s="638"/>
      <c r="N28" s="638"/>
    </row>
    <row r="29" spans="1:14" x14ac:dyDescent="0.35">
      <c r="B29" s="634"/>
      <c r="C29" s="634"/>
      <c r="D29" s="634"/>
      <c r="E29" s="634"/>
      <c r="F29" s="634"/>
      <c r="G29" s="634"/>
      <c r="H29" s="634"/>
      <c r="I29" s="634"/>
    </row>
    <row r="30" spans="1:14" x14ac:dyDescent="0.35">
      <c r="B30"/>
      <c r="C30"/>
      <c r="D30"/>
    </row>
    <row r="31" spans="1:14" x14ac:dyDescent="0.35">
      <c r="B31" s="634"/>
      <c r="C31" s="634"/>
      <c r="D31" s="634"/>
      <c r="E31" s="634"/>
      <c r="F31" s="634"/>
      <c r="G31" s="634"/>
      <c r="H31" s="634"/>
      <c r="I31" s="634"/>
    </row>
    <row r="32" spans="1:14" x14ac:dyDescent="0.35">
      <c r="B32"/>
      <c r="C32"/>
      <c r="D32"/>
    </row>
    <row r="33" spans="2:9" x14ac:dyDescent="0.35">
      <c r="B33" s="634"/>
      <c r="C33" s="634"/>
      <c r="D33" s="634"/>
      <c r="E33" s="634"/>
      <c r="F33" s="634"/>
      <c r="G33" s="634"/>
      <c r="H33" s="634"/>
      <c r="I33" s="634"/>
    </row>
    <row r="34" spans="2:9" x14ac:dyDescent="0.35">
      <c r="B34"/>
      <c r="C34"/>
      <c r="D34"/>
    </row>
    <row r="35" spans="2:9" x14ac:dyDescent="0.35">
      <c r="B35" s="634"/>
      <c r="C35" s="634"/>
      <c r="D35" s="634"/>
      <c r="E35" s="634"/>
      <c r="F35" s="634"/>
      <c r="G35" s="634"/>
    </row>
  </sheetData>
  <mergeCells count="9">
    <mergeCell ref="B33:I33"/>
    <mergeCell ref="B35:G35"/>
    <mergeCell ref="B29:I29"/>
    <mergeCell ref="B31:I31"/>
    <mergeCell ref="A1:C1"/>
    <mergeCell ref="B25:C25"/>
    <mergeCell ref="A28:N28"/>
    <mergeCell ref="A19:B19"/>
    <mergeCell ref="B5:C5"/>
  </mergeCells>
  <phoneticPr fontId="16" type="noConversion"/>
  <conditionalFormatting sqref="H15">
    <cfRule type="expression" dxfId="5" priority="2">
      <formula>J15&gt;1</formula>
    </cfRule>
  </conditionalFormatting>
  <conditionalFormatting sqref="H18">
    <cfRule type="expression" dxfId="4" priority="1">
      <formula>J18&gt;1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11</xdr:row>
                    <xdr:rowOff>0</xdr:rowOff>
                  </from>
                  <to>
                    <xdr:col>2</xdr:col>
                    <xdr:colOff>609600</xdr:colOff>
                    <xdr:row>11</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17</xdr:row>
                    <xdr:rowOff>0</xdr:rowOff>
                  </from>
                  <to>
                    <xdr:col>2</xdr:col>
                    <xdr:colOff>609600</xdr:colOff>
                    <xdr:row>17</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9272" r:id="rId12" name="Check Box 56">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topLeftCell="AF1" zoomScaleNormal="100" zoomScaleSheetLayoutView="106" workbookViewId="0">
      <selection activeCell="AW9" sqref="AW9"/>
    </sheetView>
  </sheetViews>
  <sheetFormatPr defaultColWidth="12.453125" defaultRowHeight="15.5" x14ac:dyDescent="0.35"/>
  <cols>
    <col min="1" max="1" width="6.81640625" style="82" customWidth="1"/>
    <col min="2" max="2" width="12.453125" style="82" customWidth="1"/>
    <col min="3" max="3" width="6.7265625" style="82" customWidth="1"/>
    <col min="4" max="4" width="11.26953125" style="83" customWidth="1"/>
    <col min="5" max="5" width="15.26953125" style="82" customWidth="1"/>
    <col min="6" max="10" width="3.26953125" style="82" customWidth="1"/>
    <col min="11" max="11" width="9.26953125" style="82" customWidth="1"/>
    <col min="12" max="12" width="9.54296875" style="82" customWidth="1"/>
    <col min="13" max="13" width="8.54296875" style="82" customWidth="1"/>
    <col min="14" max="14" width="9.453125" style="82" customWidth="1"/>
    <col min="15" max="15" width="9" style="82" customWidth="1"/>
    <col min="16" max="16" width="12.453125" style="83" customWidth="1"/>
    <col min="17" max="17" width="12.453125" style="223" customWidth="1"/>
    <col min="18" max="19" width="3.26953125" style="83" customWidth="1"/>
    <col min="20" max="20" width="6.7265625" style="82" customWidth="1"/>
    <col min="21" max="21" width="7.7265625" style="82" customWidth="1"/>
    <col min="22" max="22" width="12.1796875" style="82" customWidth="1"/>
    <col min="23" max="23" width="12.453125" style="82" customWidth="1"/>
    <col min="24" max="24" width="9" style="82" customWidth="1"/>
    <col min="25" max="25" width="6.7265625" style="82" customWidth="1"/>
    <col min="26" max="27" width="12.453125" style="82" customWidth="1"/>
    <col min="28" max="28" width="6" style="82" customWidth="1"/>
    <col min="29" max="30" width="13.1796875" style="82" customWidth="1"/>
    <col min="31" max="31" width="8.7265625" style="82" customWidth="1"/>
    <col min="32" max="32" width="7" style="82" customWidth="1"/>
    <col min="33" max="33" width="6" style="82" customWidth="1"/>
    <col min="34" max="34" width="12.453125" style="82" customWidth="1"/>
    <col min="35" max="35" width="6.54296875" style="82" customWidth="1"/>
    <col min="36" max="36" width="13.26953125" style="82" customWidth="1"/>
    <col min="37" max="37" width="15.26953125" style="82" customWidth="1"/>
    <col min="38" max="39" width="8.7265625" style="82" customWidth="1"/>
    <col min="40" max="40" width="10.54296875" style="82" customWidth="1"/>
    <col min="41" max="41" width="12.453125" style="82" customWidth="1"/>
    <col min="42" max="42" width="6.54296875" style="82" customWidth="1"/>
    <col min="43" max="44" width="16" style="82" customWidth="1"/>
    <col min="45" max="45" width="8.7265625" style="82" customWidth="1"/>
    <col min="46" max="46" width="9.81640625" style="82" customWidth="1"/>
    <col min="47" max="47" width="6" style="82" customWidth="1"/>
    <col min="48" max="16384" width="12.453125" style="82"/>
  </cols>
  <sheetData>
    <row r="2" spans="1:47" x14ac:dyDescent="0.35">
      <c r="A2" s="446"/>
      <c r="B2" s="85"/>
      <c r="C2" s="85"/>
      <c r="D2" s="86"/>
      <c r="E2" s="85"/>
      <c r="F2" s="87"/>
      <c r="H2" s="88"/>
      <c r="I2" s="85"/>
      <c r="J2" s="85"/>
      <c r="K2" s="85"/>
      <c r="L2" s="85"/>
      <c r="M2" s="85"/>
      <c r="N2" s="85"/>
      <c r="O2" s="85"/>
      <c r="P2" s="86"/>
      <c r="Q2" s="217"/>
      <c r="R2" s="89"/>
      <c r="T2" s="88"/>
      <c r="U2" s="85"/>
      <c r="V2" s="85"/>
      <c r="W2" s="85"/>
      <c r="X2" s="85"/>
      <c r="Y2" s="85"/>
      <c r="Z2" s="87"/>
      <c r="AB2" s="88"/>
      <c r="AC2" s="85"/>
      <c r="AD2" s="85"/>
      <c r="AE2" s="85"/>
      <c r="AF2" s="85"/>
      <c r="AG2" s="87"/>
      <c r="AI2" s="88"/>
      <c r="AJ2" s="85"/>
      <c r="AK2" s="85"/>
      <c r="AL2" s="85"/>
      <c r="AM2" s="85"/>
      <c r="AN2" s="87"/>
      <c r="AP2" s="88"/>
      <c r="AQ2" s="85"/>
      <c r="AR2" s="85"/>
      <c r="AS2" s="85"/>
      <c r="AT2" s="85"/>
      <c r="AU2" s="87"/>
    </row>
    <row r="3" spans="1:47" ht="12.75" customHeight="1" thickBot="1" x14ac:dyDescent="0.4">
      <c r="A3" s="93"/>
      <c r="B3" s="436" t="s">
        <v>443</v>
      </c>
      <c r="C3" s="436"/>
      <c r="D3" s="91"/>
      <c r="E3" s="92"/>
      <c r="F3" s="93"/>
      <c r="H3" s="84"/>
      <c r="I3" s="91"/>
      <c r="J3" s="91"/>
      <c r="K3" s="90" t="s">
        <v>63</v>
      </c>
      <c r="L3" s="90"/>
      <c r="M3" s="90"/>
      <c r="N3" s="90"/>
      <c r="O3" s="90"/>
      <c r="P3" s="94"/>
      <c r="Q3" s="218"/>
      <c r="R3" s="96"/>
      <c r="S3" s="97"/>
      <c r="T3" s="84"/>
      <c r="U3" s="90" t="s">
        <v>7</v>
      </c>
      <c r="V3" s="90"/>
      <c r="W3" s="90"/>
      <c r="X3" s="94"/>
      <c r="Y3" s="95"/>
      <c r="Z3" s="96"/>
      <c r="AB3" s="84"/>
      <c r="AC3" s="90" t="s">
        <v>8</v>
      </c>
      <c r="AD3" s="90"/>
      <c r="AE3" s="94"/>
      <c r="AF3" s="95"/>
      <c r="AG3" s="96"/>
      <c r="AI3" s="84"/>
      <c r="AJ3" s="90" t="s">
        <v>64</v>
      </c>
      <c r="AK3" s="90"/>
      <c r="AL3" s="94"/>
      <c r="AM3" s="95"/>
      <c r="AN3" s="96"/>
      <c r="AP3" s="84"/>
      <c r="AQ3" s="90" t="s">
        <v>65</v>
      </c>
      <c r="AR3" s="90"/>
      <c r="AS3" s="94"/>
      <c r="AT3" s="95"/>
      <c r="AU3" s="96"/>
    </row>
    <row r="4" spans="1:47" s="101" customFormat="1" ht="108" customHeight="1" thickBot="1" x14ac:dyDescent="0.4">
      <c r="A4" s="447"/>
      <c r="B4" s="100"/>
      <c r="C4" s="515" t="s">
        <v>9</v>
      </c>
      <c r="D4" s="99"/>
      <c r="E4" s="99"/>
      <c r="F4" s="100"/>
      <c r="H4" s="98"/>
      <c r="I4" s="99"/>
      <c r="J4" s="99"/>
      <c r="K4" s="532" t="s">
        <v>10</v>
      </c>
      <c r="L4" s="535" t="s">
        <v>11</v>
      </c>
      <c r="M4" s="515" t="s">
        <v>12</v>
      </c>
      <c r="N4" s="515" t="s">
        <v>13</v>
      </c>
      <c r="O4" s="515" t="s">
        <v>14</v>
      </c>
      <c r="P4" s="99"/>
      <c r="Q4" s="216"/>
      <c r="R4" s="100"/>
      <c r="T4" s="98"/>
      <c r="U4" s="532" t="s">
        <v>66</v>
      </c>
      <c r="V4" s="515" t="s">
        <v>15</v>
      </c>
      <c r="W4" s="515" t="s">
        <v>67</v>
      </c>
      <c r="X4" s="99"/>
      <c r="Y4" s="99"/>
      <c r="Z4" s="100"/>
      <c r="AB4" s="98"/>
      <c r="AC4" s="532" t="s">
        <v>68</v>
      </c>
      <c r="AD4" s="540" t="s">
        <v>73</v>
      </c>
      <c r="AE4" s="99"/>
      <c r="AF4" s="99"/>
      <c r="AG4" s="100"/>
      <c r="AI4" s="98"/>
      <c r="AJ4" s="532" t="s">
        <v>218</v>
      </c>
      <c r="AK4" s="515" t="s">
        <v>69</v>
      </c>
      <c r="AL4" s="99"/>
      <c r="AM4" s="99"/>
      <c r="AN4" s="100"/>
      <c r="AP4" s="98"/>
      <c r="AQ4" s="515" t="s">
        <v>219</v>
      </c>
      <c r="AR4" s="540" t="s">
        <v>247</v>
      </c>
      <c r="AS4" s="99"/>
      <c r="AT4" s="99"/>
      <c r="AU4" s="100"/>
    </row>
    <row r="5" spans="1:47" ht="16" thickBot="1" x14ac:dyDescent="0.4">
      <c r="A5" s="446"/>
      <c r="B5" s="91"/>
      <c r="C5" s="558">
        <f>Q21</f>
        <v>0</v>
      </c>
      <c r="D5" s="539" t="s">
        <v>16</v>
      </c>
      <c r="E5" s="91"/>
      <c r="F5" s="93"/>
      <c r="H5" s="84"/>
      <c r="I5" s="91"/>
      <c r="J5" s="91"/>
      <c r="K5" s="514">
        <f>Y21</f>
        <v>0</v>
      </c>
      <c r="L5" s="536">
        <f>AF21</f>
        <v>0</v>
      </c>
      <c r="M5" s="537">
        <f>AM21</f>
        <v>0</v>
      </c>
      <c r="N5" s="537">
        <f>AT21</f>
        <v>0</v>
      </c>
      <c r="O5" s="538">
        <f>'5.1 Administration'!C23</f>
        <v>0</v>
      </c>
      <c r="P5" s="539" t="s">
        <v>16</v>
      </c>
      <c r="Q5" s="218"/>
      <c r="R5" s="103"/>
      <c r="T5" s="84"/>
      <c r="U5" s="531">
        <f>'1.1 Staffing'!B199</f>
        <v>0</v>
      </c>
      <c r="V5" s="533">
        <f>'1.2 Staff Qualifications'!C13</f>
        <v>0</v>
      </c>
      <c r="W5" s="534">
        <f>'1.3 Staff Training'!C12</f>
        <v>0</v>
      </c>
      <c r="X5" s="102" t="s">
        <v>16</v>
      </c>
      <c r="Y5" s="92"/>
      <c r="Z5" s="103"/>
      <c r="AB5" s="84"/>
      <c r="AC5" s="531">
        <f>'2.1 Square Footage'!D13</f>
        <v>0</v>
      </c>
      <c r="AD5" s="541">
        <f>'2.2 Facility Quality'!C32</f>
        <v>0</v>
      </c>
      <c r="AE5" s="539" t="s">
        <v>16</v>
      </c>
      <c r="AF5" s="92"/>
      <c r="AG5" s="103"/>
      <c r="AI5" s="84"/>
      <c r="AJ5" s="552">
        <f>'3.1 Recreation Programming'!D71</f>
        <v>0</v>
      </c>
      <c r="AK5" s="551">
        <f>'3.2 Fitness Programming'!D68</f>
        <v>0</v>
      </c>
      <c r="AL5" s="539" t="s">
        <v>16</v>
      </c>
      <c r="AM5" s="92"/>
      <c r="AN5" s="103"/>
      <c r="AP5" s="84"/>
      <c r="AQ5" s="550">
        <f>'4.1 Recreation Equipment'!C25</f>
        <v>0</v>
      </c>
      <c r="AR5" s="549">
        <f>'4.2 Fitness Equipment'!D97</f>
        <v>0</v>
      </c>
      <c r="AS5" s="539" t="s">
        <v>16</v>
      </c>
      <c r="AT5" s="92"/>
      <c r="AU5" s="103"/>
    </row>
    <row r="6" spans="1:47" ht="16" thickBot="1" x14ac:dyDescent="0.4">
      <c r="A6" s="446"/>
      <c r="B6" s="91"/>
      <c r="C6" s="219"/>
      <c r="D6" s="92"/>
      <c r="E6" s="91"/>
      <c r="F6" s="93"/>
      <c r="H6" s="84"/>
      <c r="I6" s="91"/>
      <c r="J6" s="91"/>
      <c r="K6" s="219"/>
      <c r="L6" s="219"/>
      <c r="M6" s="219"/>
      <c r="N6" s="219"/>
      <c r="O6" s="219"/>
      <c r="P6" s="92"/>
      <c r="Q6" s="218"/>
      <c r="R6" s="103"/>
      <c r="T6" s="84"/>
      <c r="U6" s="219"/>
      <c r="V6" s="219"/>
      <c r="W6" s="219"/>
      <c r="X6" s="92"/>
      <c r="Y6" s="92"/>
      <c r="Z6" s="103"/>
      <c r="AB6" s="84"/>
      <c r="AC6" s="219"/>
      <c r="AD6" s="219"/>
      <c r="AE6" s="92"/>
      <c r="AF6" s="92"/>
      <c r="AG6" s="103"/>
      <c r="AI6" s="84"/>
      <c r="AJ6" s="219"/>
      <c r="AK6" s="219"/>
      <c r="AL6" s="92"/>
      <c r="AM6" s="92"/>
      <c r="AN6" s="103"/>
      <c r="AP6" s="84"/>
      <c r="AQ6" s="219"/>
      <c r="AR6" s="219"/>
      <c r="AS6" s="92"/>
      <c r="AT6" s="92"/>
      <c r="AU6" s="103"/>
    </row>
    <row r="7" spans="1:47" x14ac:dyDescent="0.35">
      <c r="A7" s="446"/>
      <c r="B7" s="517"/>
      <c r="C7" s="559">
        <v>1000</v>
      </c>
      <c r="D7" s="104">
        <v>10</v>
      </c>
      <c r="E7" s="91"/>
      <c r="F7" s="93"/>
      <c r="H7" s="84"/>
      <c r="I7" s="91"/>
      <c r="J7" s="91"/>
      <c r="K7" s="415">
        <v>1000</v>
      </c>
      <c r="L7" s="411">
        <v>1000</v>
      </c>
      <c r="M7" s="411">
        <v>1000</v>
      </c>
      <c r="N7" s="411">
        <v>1000</v>
      </c>
      <c r="O7" s="416">
        <v>100</v>
      </c>
      <c r="P7" s="104">
        <v>10</v>
      </c>
      <c r="Q7" s="218"/>
      <c r="R7" s="103"/>
      <c r="T7" s="517"/>
      <c r="U7" s="516">
        <v>100</v>
      </c>
      <c r="V7" s="411">
        <v>100</v>
      </c>
      <c r="W7" s="416">
        <v>100</v>
      </c>
      <c r="X7" s="104">
        <v>10</v>
      </c>
      <c r="Y7" s="92"/>
      <c r="Z7" s="103"/>
      <c r="AB7" s="84"/>
      <c r="AC7" s="415">
        <v>100</v>
      </c>
      <c r="AD7" s="416">
        <v>100</v>
      </c>
      <c r="AE7" s="104">
        <v>10</v>
      </c>
      <c r="AF7" s="92"/>
      <c r="AG7" s="103"/>
      <c r="AI7" s="517"/>
      <c r="AJ7" s="516">
        <v>100</v>
      </c>
      <c r="AK7" s="416">
        <v>100</v>
      </c>
      <c r="AL7" s="104">
        <v>10</v>
      </c>
      <c r="AM7" s="92"/>
      <c r="AN7" s="103"/>
      <c r="AP7" s="517"/>
      <c r="AQ7" s="516">
        <v>100</v>
      </c>
      <c r="AR7" s="416">
        <v>100</v>
      </c>
      <c r="AS7" s="104">
        <v>10</v>
      </c>
      <c r="AT7" s="92"/>
      <c r="AU7" s="103"/>
    </row>
    <row r="8" spans="1:47" x14ac:dyDescent="0.35">
      <c r="A8" s="446"/>
      <c r="B8" s="517"/>
      <c r="C8" s="560">
        <v>900</v>
      </c>
      <c r="D8" s="104">
        <v>9</v>
      </c>
      <c r="F8" s="93"/>
      <c r="H8" s="84"/>
      <c r="I8" s="91"/>
      <c r="J8" s="91"/>
      <c r="K8" s="417">
        <v>900</v>
      </c>
      <c r="L8" s="412">
        <v>900</v>
      </c>
      <c r="M8" s="412">
        <v>900</v>
      </c>
      <c r="N8" s="443">
        <v>900</v>
      </c>
      <c r="O8" s="418">
        <v>90</v>
      </c>
      <c r="P8" s="104">
        <v>9</v>
      </c>
      <c r="Q8" s="219"/>
      <c r="R8" s="103"/>
      <c r="T8" s="517"/>
      <c r="U8" s="443">
        <v>95</v>
      </c>
      <c r="V8" s="412">
        <v>95</v>
      </c>
      <c r="W8" s="529">
        <v>95</v>
      </c>
      <c r="X8" s="104">
        <v>9</v>
      </c>
      <c r="Y8" s="91"/>
      <c r="Z8" s="103"/>
      <c r="AB8" s="84"/>
      <c r="AC8" s="417">
        <v>90</v>
      </c>
      <c r="AD8" s="529">
        <v>90</v>
      </c>
      <c r="AE8" s="104">
        <v>9</v>
      </c>
      <c r="AF8" s="91"/>
      <c r="AG8" s="103"/>
      <c r="AI8" s="517"/>
      <c r="AJ8" s="443">
        <v>95</v>
      </c>
      <c r="AK8" s="529">
        <v>95</v>
      </c>
      <c r="AL8" s="104">
        <v>9</v>
      </c>
      <c r="AM8" s="91"/>
      <c r="AN8" s="103"/>
      <c r="AP8" s="517"/>
      <c r="AQ8" s="443">
        <v>90</v>
      </c>
      <c r="AR8" s="529">
        <v>90</v>
      </c>
      <c r="AS8" s="104">
        <v>9</v>
      </c>
      <c r="AT8" s="91"/>
      <c r="AU8" s="103"/>
    </row>
    <row r="9" spans="1:47" x14ac:dyDescent="0.35">
      <c r="A9" s="446"/>
      <c r="B9" s="517"/>
      <c r="C9" s="560">
        <v>800</v>
      </c>
      <c r="D9" s="104">
        <v>8</v>
      </c>
      <c r="E9" s="91"/>
      <c r="F9" s="93"/>
      <c r="H9" s="84"/>
      <c r="I9" s="91"/>
      <c r="J9" s="91"/>
      <c r="K9" s="417">
        <v>800</v>
      </c>
      <c r="L9" s="412">
        <v>800</v>
      </c>
      <c r="M9" s="412">
        <v>800</v>
      </c>
      <c r="N9" s="412">
        <v>800</v>
      </c>
      <c r="O9" s="418">
        <v>80</v>
      </c>
      <c r="P9" s="104">
        <v>8</v>
      </c>
      <c r="Q9" s="218"/>
      <c r="R9" s="103"/>
      <c r="T9" s="517"/>
      <c r="U9" s="443">
        <v>90</v>
      </c>
      <c r="V9" s="412">
        <v>90</v>
      </c>
      <c r="W9" s="529">
        <v>90</v>
      </c>
      <c r="X9" s="104">
        <v>8</v>
      </c>
      <c r="Y9" s="92"/>
      <c r="Z9" s="103"/>
      <c r="AB9" s="84"/>
      <c r="AC9" s="417">
        <v>80</v>
      </c>
      <c r="AD9" s="529">
        <v>80</v>
      </c>
      <c r="AE9" s="104">
        <v>8</v>
      </c>
      <c r="AF9" s="92"/>
      <c r="AG9" s="103"/>
      <c r="AI9" s="517"/>
      <c r="AJ9" s="443">
        <v>90</v>
      </c>
      <c r="AK9" s="529">
        <v>90</v>
      </c>
      <c r="AL9" s="104">
        <v>8</v>
      </c>
      <c r="AM9" s="92"/>
      <c r="AN9" s="103"/>
      <c r="AP9" s="517"/>
      <c r="AQ9" s="443">
        <v>80</v>
      </c>
      <c r="AR9" s="529">
        <v>80</v>
      </c>
      <c r="AS9" s="104">
        <v>8</v>
      </c>
      <c r="AT9" s="92"/>
      <c r="AU9" s="103"/>
    </row>
    <row r="10" spans="1:47" x14ac:dyDescent="0.35">
      <c r="A10" s="446"/>
      <c r="B10" s="517"/>
      <c r="C10" s="560">
        <v>700</v>
      </c>
      <c r="D10" s="104">
        <v>7</v>
      </c>
      <c r="E10" s="91"/>
      <c r="F10" s="93"/>
      <c r="H10" s="84"/>
      <c r="I10" s="91"/>
      <c r="J10" s="91"/>
      <c r="K10" s="417">
        <v>700</v>
      </c>
      <c r="L10" s="412">
        <v>700</v>
      </c>
      <c r="M10" s="412">
        <v>700</v>
      </c>
      <c r="N10" s="412">
        <v>700</v>
      </c>
      <c r="O10" s="418">
        <v>70</v>
      </c>
      <c r="P10" s="104">
        <v>7</v>
      </c>
      <c r="Q10" s="218"/>
      <c r="R10" s="103"/>
      <c r="T10" s="517"/>
      <c r="U10" s="443">
        <v>85</v>
      </c>
      <c r="V10" s="412">
        <v>85</v>
      </c>
      <c r="W10" s="529">
        <v>85</v>
      </c>
      <c r="X10" s="104">
        <v>7</v>
      </c>
      <c r="Y10" s="92"/>
      <c r="Z10" s="103"/>
      <c r="AB10" s="84"/>
      <c r="AC10" s="417">
        <v>70</v>
      </c>
      <c r="AD10" s="529">
        <v>70</v>
      </c>
      <c r="AE10" s="104">
        <v>7</v>
      </c>
      <c r="AF10" s="92"/>
      <c r="AG10" s="103"/>
      <c r="AI10" s="517"/>
      <c r="AJ10" s="443">
        <v>85</v>
      </c>
      <c r="AK10" s="529">
        <v>85</v>
      </c>
      <c r="AL10" s="104">
        <v>7</v>
      </c>
      <c r="AM10" s="92"/>
      <c r="AN10" s="103"/>
      <c r="AP10" s="517"/>
      <c r="AQ10" s="443">
        <v>70</v>
      </c>
      <c r="AR10" s="529">
        <v>70</v>
      </c>
      <c r="AS10" s="104">
        <v>7</v>
      </c>
      <c r="AT10" s="92"/>
      <c r="AU10" s="103"/>
    </row>
    <row r="11" spans="1:47" x14ac:dyDescent="0.35">
      <c r="A11" s="446"/>
      <c r="B11" s="517"/>
      <c r="C11" s="560">
        <v>600</v>
      </c>
      <c r="D11" s="104">
        <v>6</v>
      </c>
      <c r="E11" s="91"/>
      <c r="F11" s="93"/>
      <c r="H11" s="84"/>
      <c r="I11" s="91"/>
      <c r="J11" s="91"/>
      <c r="K11" s="417">
        <v>600</v>
      </c>
      <c r="L11" s="412">
        <v>600</v>
      </c>
      <c r="M11" s="412">
        <v>600</v>
      </c>
      <c r="N11" s="412">
        <v>600</v>
      </c>
      <c r="O11" s="418">
        <v>60</v>
      </c>
      <c r="P11" s="104">
        <v>6</v>
      </c>
      <c r="Q11" s="218"/>
      <c r="R11" s="103"/>
      <c r="T11" s="517"/>
      <c r="U11" s="443">
        <v>80</v>
      </c>
      <c r="V11" s="412">
        <v>80</v>
      </c>
      <c r="W11" s="529">
        <v>80</v>
      </c>
      <c r="X11" s="104">
        <v>6</v>
      </c>
      <c r="Y11" s="92"/>
      <c r="Z11" s="103"/>
      <c r="AB11" s="84"/>
      <c r="AC11" s="417">
        <v>60</v>
      </c>
      <c r="AD11" s="529">
        <v>60</v>
      </c>
      <c r="AE11" s="104">
        <v>6</v>
      </c>
      <c r="AF11" s="92"/>
      <c r="AG11" s="103"/>
      <c r="AI11" s="517"/>
      <c r="AJ11" s="443">
        <v>80</v>
      </c>
      <c r="AK11" s="529">
        <v>80</v>
      </c>
      <c r="AL11" s="104">
        <v>6</v>
      </c>
      <c r="AM11" s="92"/>
      <c r="AN11" s="103"/>
      <c r="AP11" s="517"/>
      <c r="AQ11" s="443">
        <v>60</v>
      </c>
      <c r="AR11" s="529">
        <v>60</v>
      </c>
      <c r="AS11" s="104">
        <v>6</v>
      </c>
      <c r="AT11" s="92"/>
      <c r="AU11" s="103"/>
    </row>
    <row r="12" spans="1:47" x14ac:dyDescent="0.35">
      <c r="A12" s="446"/>
      <c r="B12" s="517"/>
      <c r="C12" s="560">
        <v>500</v>
      </c>
      <c r="D12" s="104">
        <v>5</v>
      </c>
      <c r="E12" s="91"/>
      <c r="F12" s="93"/>
      <c r="H12" s="84"/>
      <c r="I12" s="91"/>
      <c r="J12" s="91"/>
      <c r="K12" s="417">
        <v>500</v>
      </c>
      <c r="L12" s="412">
        <v>500</v>
      </c>
      <c r="M12" s="412">
        <v>500</v>
      </c>
      <c r="N12" s="412">
        <v>500</v>
      </c>
      <c r="O12" s="418">
        <v>50</v>
      </c>
      <c r="P12" s="104">
        <v>5</v>
      </c>
      <c r="Q12" s="218"/>
      <c r="R12" s="103"/>
      <c r="T12" s="517"/>
      <c r="U12" s="443">
        <v>75</v>
      </c>
      <c r="V12" s="412">
        <v>75</v>
      </c>
      <c r="W12" s="529">
        <v>75</v>
      </c>
      <c r="X12" s="104">
        <v>5</v>
      </c>
      <c r="Y12" s="92"/>
      <c r="Z12" s="103"/>
      <c r="AB12" s="84"/>
      <c r="AC12" s="417">
        <v>50</v>
      </c>
      <c r="AD12" s="529">
        <v>50</v>
      </c>
      <c r="AE12" s="104">
        <v>5</v>
      </c>
      <c r="AF12" s="92"/>
      <c r="AG12" s="103"/>
      <c r="AI12" s="517"/>
      <c r="AJ12" s="443">
        <v>75</v>
      </c>
      <c r="AK12" s="529">
        <v>75</v>
      </c>
      <c r="AL12" s="104">
        <v>5</v>
      </c>
      <c r="AM12" s="92"/>
      <c r="AN12" s="103"/>
      <c r="AP12" s="517"/>
      <c r="AQ12" s="443">
        <v>50</v>
      </c>
      <c r="AR12" s="529">
        <v>50</v>
      </c>
      <c r="AS12" s="104">
        <v>5</v>
      </c>
      <c r="AT12" s="92"/>
      <c r="AU12" s="103"/>
    </row>
    <row r="13" spans="1:47" x14ac:dyDescent="0.35">
      <c r="A13" s="446"/>
      <c r="B13" s="517"/>
      <c r="C13" s="560">
        <v>400</v>
      </c>
      <c r="D13" s="104">
        <v>4</v>
      </c>
      <c r="E13" s="91"/>
      <c r="F13" s="93"/>
      <c r="H13" s="84"/>
      <c r="I13" s="91"/>
      <c r="J13" s="91"/>
      <c r="K13" s="417">
        <v>400</v>
      </c>
      <c r="L13" s="412">
        <v>400</v>
      </c>
      <c r="M13" s="412">
        <v>400</v>
      </c>
      <c r="N13" s="412">
        <v>400</v>
      </c>
      <c r="O13" s="418">
        <v>40</v>
      </c>
      <c r="P13" s="104">
        <v>4</v>
      </c>
      <c r="Q13" s="218"/>
      <c r="R13" s="103"/>
      <c r="T13" s="517"/>
      <c r="U13" s="443">
        <v>70</v>
      </c>
      <c r="V13" s="412">
        <v>70</v>
      </c>
      <c r="W13" s="529">
        <v>70</v>
      </c>
      <c r="X13" s="104">
        <v>4</v>
      </c>
      <c r="Y13" s="92"/>
      <c r="Z13" s="103"/>
      <c r="AB13" s="84"/>
      <c r="AC13" s="417">
        <v>40</v>
      </c>
      <c r="AD13" s="529">
        <v>40</v>
      </c>
      <c r="AE13" s="104">
        <v>4</v>
      </c>
      <c r="AF13" s="92"/>
      <c r="AG13" s="103"/>
      <c r="AI13" s="517"/>
      <c r="AJ13" s="443">
        <v>70</v>
      </c>
      <c r="AK13" s="529">
        <v>70</v>
      </c>
      <c r="AL13" s="104">
        <v>4</v>
      </c>
      <c r="AM13" s="92"/>
      <c r="AN13" s="103"/>
      <c r="AP13" s="517"/>
      <c r="AQ13" s="443">
        <v>40</v>
      </c>
      <c r="AR13" s="529">
        <v>40</v>
      </c>
      <c r="AS13" s="104">
        <v>4</v>
      </c>
      <c r="AT13" s="92"/>
      <c r="AU13" s="103"/>
    </row>
    <row r="14" spans="1:47" x14ac:dyDescent="0.35">
      <c r="A14" s="446"/>
      <c r="B14" s="517"/>
      <c r="C14" s="560">
        <v>300</v>
      </c>
      <c r="D14" s="104">
        <v>3</v>
      </c>
      <c r="E14" s="91"/>
      <c r="F14" s="93"/>
      <c r="H14" s="84"/>
      <c r="I14" s="91"/>
      <c r="J14" s="91"/>
      <c r="K14" s="417">
        <v>300</v>
      </c>
      <c r="L14" s="412">
        <v>300</v>
      </c>
      <c r="M14" s="412">
        <v>300</v>
      </c>
      <c r="N14" s="412">
        <v>300</v>
      </c>
      <c r="O14" s="418">
        <v>30</v>
      </c>
      <c r="P14" s="104">
        <v>3</v>
      </c>
      <c r="Q14" s="218"/>
      <c r="R14" s="103"/>
      <c r="T14" s="517"/>
      <c r="U14" s="443">
        <v>65</v>
      </c>
      <c r="V14" s="412">
        <v>65</v>
      </c>
      <c r="W14" s="529">
        <v>65</v>
      </c>
      <c r="X14" s="104">
        <v>3</v>
      </c>
      <c r="Y14" s="92"/>
      <c r="Z14" s="103"/>
      <c r="AB14" s="84"/>
      <c r="AC14" s="417">
        <v>30</v>
      </c>
      <c r="AD14" s="529">
        <v>30</v>
      </c>
      <c r="AE14" s="104">
        <v>3</v>
      </c>
      <c r="AF14" s="92"/>
      <c r="AG14" s="103"/>
      <c r="AI14" s="517"/>
      <c r="AJ14" s="443">
        <v>65</v>
      </c>
      <c r="AK14" s="529">
        <v>65</v>
      </c>
      <c r="AL14" s="104">
        <v>3</v>
      </c>
      <c r="AM14" s="92"/>
      <c r="AN14" s="103"/>
      <c r="AP14" s="517"/>
      <c r="AQ14" s="443">
        <v>30</v>
      </c>
      <c r="AR14" s="529">
        <v>30</v>
      </c>
      <c r="AS14" s="104">
        <v>3</v>
      </c>
      <c r="AT14" s="92"/>
      <c r="AU14" s="103"/>
    </row>
    <row r="15" spans="1:47" x14ac:dyDescent="0.35">
      <c r="A15" s="446"/>
      <c r="B15" s="517"/>
      <c r="C15" s="560">
        <v>200</v>
      </c>
      <c r="D15" s="104">
        <v>2</v>
      </c>
      <c r="E15" s="91"/>
      <c r="F15" s="93"/>
      <c r="H15" s="84"/>
      <c r="I15" s="91"/>
      <c r="J15" s="91"/>
      <c r="K15" s="417">
        <v>200</v>
      </c>
      <c r="L15" s="412">
        <v>200</v>
      </c>
      <c r="M15" s="412">
        <v>200</v>
      </c>
      <c r="N15" s="412">
        <v>200</v>
      </c>
      <c r="O15" s="418">
        <v>20</v>
      </c>
      <c r="P15" s="104">
        <v>2</v>
      </c>
      <c r="Q15" s="218"/>
      <c r="R15" s="103"/>
      <c r="T15" s="517"/>
      <c r="U15" s="443">
        <v>60</v>
      </c>
      <c r="V15" s="412">
        <v>60</v>
      </c>
      <c r="W15" s="529">
        <v>60</v>
      </c>
      <c r="X15" s="104">
        <v>2</v>
      </c>
      <c r="Y15" s="92"/>
      <c r="Z15" s="103"/>
      <c r="AB15" s="84"/>
      <c r="AC15" s="417">
        <v>20</v>
      </c>
      <c r="AD15" s="529">
        <v>20</v>
      </c>
      <c r="AE15" s="104">
        <v>2</v>
      </c>
      <c r="AF15" s="92"/>
      <c r="AG15" s="103"/>
      <c r="AI15" s="517"/>
      <c r="AJ15" s="443">
        <v>60</v>
      </c>
      <c r="AK15" s="529">
        <v>60</v>
      </c>
      <c r="AL15" s="104">
        <v>2</v>
      </c>
      <c r="AM15" s="92"/>
      <c r="AN15" s="103"/>
      <c r="AP15" s="517"/>
      <c r="AQ15" s="443">
        <v>20</v>
      </c>
      <c r="AR15" s="529">
        <v>20</v>
      </c>
      <c r="AS15" s="104">
        <v>2</v>
      </c>
      <c r="AT15" s="92"/>
      <c r="AU15" s="103"/>
    </row>
    <row r="16" spans="1:47" x14ac:dyDescent="0.35">
      <c r="A16" s="446"/>
      <c r="B16" s="517"/>
      <c r="C16" s="560">
        <v>100</v>
      </c>
      <c r="D16" s="104">
        <v>1</v>
      </c>
      <c r="E16" s="91"/>
      <c r="F16" s="93"/>
      <c r="H16" s="84"/>
      <c r="I16" s="91"/>
      <c r="J16" s="91"/>
      <c r="K16" s="417">
        <v>100</v>
      </c>
      <c r="L16" s="412">
        <v>100</v>
      </c>
      <c r="M16" s="412">
        <v>100</v>
      </c>
      <c r="N16" s="412">
        <v>100</v>
      </c>
      <c r="O16" s="418">
        <v>10</v>
      </c>
      <c r="P16" s="104">
        <v>1</v>
      </c>
      <c r="Q16" s="218"/>
      <c r="R16" s="103"/>
      <c r="T16" s="517"/>
      <c r="U16" s="443">
        <v>55</v>
      </c>
      <c r="V16" s="412">
        <v>55</v>
      </c>
      <c r="W16" s="529">
        <v>55</v>
      </c>
      <c r="X16" s="104">
        <v>1</v>
      </c>
      <c r="Y16" s="92"/>
      <c r="Z16" s="103"/>
      <c r="AB16" s="84"/>
      <c r="AC16" s="417">
        <v>10</v>
      </c>
      <c r="AD16" s="529">
        <v>10</v>
      </c>
      <c r="AE16" s="104">
        <v>1</v>
      </c>
      <c r="AF16" s="92"/>
      <c r="AG16" s="103"/>
      <c r="AI16" s="517"/>
      <c r="AJ16" s="443">
        <v>55</v>
      </c>
      <c r="AK16" s="529">
        <v>55</v>
      </c>
      <c r="AL16" s="104">
        <v>1</v>
      </c>
      <c r="AM16" s="92"/>
      <c r="AN16" s="103"/>
      <c r="AP16" s="517"/>
      <c r="AQ16" s="443">
        <v>10</v>
      </c>
      <c r="AR16" s="529">
        <v>10</v>
      </c>
      <c r="AS16" s="104">
        <v>1</v>
      </c>
      <c r="AT16" s="92"/>
      <c r="AU16" s="103"/>
    </row>
    <row r="17" spans="1:62" ht="16" thickBot="1" x14ac:dyDescent="0.4">
      <c r="A17" s="446"/>
      <c r="B17" s="517"/>
      <c r="C17" s="561">
        <v>0</v>
      </c>
      <c r="D17" s="104">
        <v>0</v>
      </c>
      <c r="E17" s="91"/>
      <c r="F17" s="93"/>
      <c r="H17" s="84"/>
      <c r="I17" s="91"/>
      <c r="J17" s="91"/>
      <c r="K17" s="419">
        <v>0</v>
      </c>
      <c r="L17" s="413">
        <v>0</v>
      </c>
      <c r="M17" s="420">
        <v>0</v>
      </c>
      <c r="N17" s="413">
        <v>0</v>
      </c>
      <c r="O17" s="421">
        <v>0</v>
      </c>
      <c r="P17" s="104">
        <v>0</v>
      </c>
      <c r="Q17" s="218"/>
      <c r="R17" s="103"/>
      <c r="T17" s="517"/>
      <c r="U17" s="420">
        <v>50</v>
      </c>
      <c r="V17" s="413">
        <v>50</v>
      </c>
      <c r="W17" s="530">
        <v>50</v>
      </c>
      <c r="X17" s="104">
        <v>0</v>
      </c>
      <c r="Y17" s="92"/>
      <c r="Z17" s="103"/>
      <c r="AB17" s="84"/>
      <c r="AC17" s="419">
        <v>0</v>
      </c>
      <c r="AD17" s="530">
        <v>0</v>
      </c>
      <c r="AE17" s="104">
        <v>0</v>
      </c>
      <c r="AF17" s="92"/>
      <c r="AG17" s="103"/>
      <c r="AI17" s="517"/>
      <c r="AJ17" s="420">
        <v>50</v>
      </c>
      <c r="AK17" s="530">
        <v>50</v>
      </c>
      <c r="AL17" s="104">
        <v>0</v>
      </c>
      <c r="AM17" s="92"/>
      <c r="AN17" s="103"/>
      <c r="AP17" s="517"/>
      <c r="AQ17" s="420">
        <v>0</v>
      </c>
      <c r="AR17" s="530">
        <v>0</v>
      </c>
      <c r="AS17" s="104">
        <v>0</v>
      </c>
      <c r="AT17" s="92"/>
      <c r="AU17" s="103"/>
    </row>
    <row r="18" spans="1:62" ht="16" thickBot="1" x14ac:dyDescent="0.4">
      <c r="A18" s="446"/>
      <c r="B18" s="91"/>
      <c r="C18" s="219"/>
      <c r="D18" s="92"/>
      <c r="E18" s="91"/>
      <c r="F18" s="93"/>
      <c r="H18" s="84"/>
      <c r="I18" s="91"/>
      <c r="J18" s="91"/>
      <c r="K18" s="219"/>
      <c r="L18" s="219"/>
      <c r="M18" s="219"/>
      <c r="N18" s="219"/>
      <c r="O18" s="219"/>
      <c r="P18" s="92"/>
      <c r="Q18" s="218"/>
      <c r="R18" s="103"/>
      <c r="T18" s="84"/>
      <c r="U18" s="219"/>
      <c r="V18" s="219"/>
      <c r="W18" s="219"/>
      <c r="X18" s="92"/>
      <c r="Y18" s="92"/>
      <c r="Z18" s="103"/>
      <c r="AB18" s="84"/>
      <c r="AC18" s="219"/>
      <c r="AD18" s="219"/>
      <c r="AE18" s="92"/>
      <c r="AF18" s="92"/>
      <c r="AG18" s="103"/>
      <c r="AI18" s="84"/>
      <c r="AJ18" s="219"/>
      <c r="AK18" s="219"/>
      <c r="AL18" s="92"/>
      <c r="AM18" s="92"/>
      <c r="AN18" s="103"/>
      <c r="AP18" s="84"/>
      <c r="AQ18" s="557"/>
      <c r="AR18" s="219"/>
      <c r="AS18" s="92"/>
      <c r="AT18" s="92">
        <f>SUM(AQ20:AR20)</f>
        <v>100</v>
      </c>
      <c r="AU18" s="103"/>
    </row>
    <row r="19" spans="1:62" ht="16" thickBot="1" x14ac:dyDescent="0.4">
      <c r="A19" s="446"/>
      <c r="B19" s="517"/>
      <c r="C19" s="518">
        <f>C5</f>
        <v>0</v>
      </c>
      <c r="D19" s="92" t="s">
        <v>20</v>
      </c>
      <c r="E19" s="105"/>
      <c r="F19" s="106"/>
      <c r="G19" s="107"/>
      <c r="H19" s="108"/>
      <c r="I19" s="105"/>
      <c r="J19" s="105"/>
      <c r="K19" s="521">
        <f>K5/100</f>
        <v>0</v>
      </c>
      <c r="L19" s="523">
        <f>L5/100</f>
        <v>0</v>
      </c>
      <c r="M19" s="523">
        <f>M5/100</f>
        <v>0</v>
      </c>
      <c r="N19" s="523">
        <f>N5/100</f>
        <v>0</v>
      </c>
      <c r="O19" s="524">
        <f>O5*10</f>
        <v>0</v>
      </c>
      <c r="P19" s="92" t="s">
        <v>20</v>
      </c>
      <c r="Q19" s="219"/>
      <c r="R19" s="106"/>
      <c r="S19" s="107"/>
      <c r="T19" s="108"/>
      <c r="U19" s="437">
        <f>Y71</f>
        <v>0</v>
      </c>
      <c r="V19" s="437">
        <f t="shared" ref="V19:W19" si="0">Z71</f>
        <v>0</v>
      </c>
      <c r="W19" s="438">
        <f t="shared" si="0"/>
        <v>0</v>
      </c>
      <c r="X19" s="92" t="s">
        <v>20</v>
      </c>
      <c r="Y19" s="105"/>
      <c r="Z19" s="106"/>
      <c r="AB19" s="108"/>
      <c r="AC19" s="441">
        <f>AF71</f>
        <v>0</v>
      </c>
      <c r="AD19" s="542">
        <f>AG71</f>
        <v>0</v>
      </c>
      <c r="AE19" s="92" t="s">
        <v>20</v>
      </c>
      <c r="AF19" s="105"/>
      <c r="AG19" s="106"/>
      <c r="AI19" s="108"/>
      <c r="AJ19" s="422">
        <f>AL71</f>
        <v>0</v>
      </c>
      <c r="AK19" s="555">
        <f>AM71</f>
        <v>0</v>
      </c>
      <c r="AL19" s="92"/>
      <c r="AM19" s="105"/>
      <c r="AN19" s="106"/>
      <c r="AP19" s="547"/>
      <c r="AQ19" s="544">
        <f>AS71</f>
        <v>0</v>
      </c>
      <c r="AR19" s="548">
        <f>AT71</f>
        <v>0</v>
      </c>
      <c r="AS19" s="92" t="s">
        <v>20</v>
      </c>
      <c r="AT19" s="105"/>
      <c r="AU19" s="106"/>
    </row>
    <row r="20" spans="1:62" x14ac:dyDescent="0.35">
      <c r="A20" s="446"/>
      <c r="B20" s="517"/>
      <c r="C20" s="520">
        <v>100</v>
      </c>
      <c r="D20" s="92" t="s">
        <v>17</v>
      </c>
      <c r="E20" s="220" t="s">
        <v>70</v>
      </c>
      <c r="F20" s="103"/>
      <c r="G20" s="92"/>
      <c r="H20" s="84"/>
      <c r="I20" s="91"/>
      <c r="J20" s="91"/>
      <c r="K20" s="522">
        <v>25</v>
      </c>
      <c r="L20" s="522">
        <v>15</v>
      </c>
      <c r="M20" s="522">
        <v>30</v>
      </c>
      <c r="N20" s="522">
        <v>25</v>
      </c>
      <c r="O20" s="424">
        <v>5</v>
      </c>
      <c r="P20" s="92" t="s">
        <v>17</v>
      </c>
      <c r="Q20" s="220" t="s">
        <v>18</v>
      </c>
      <c r="R20" s="109"/>
      <c r="S20" s="110"/>
      <c r="T20" s="84"/>
      <c r="U20" s="527">
        <v>40</v>
      </c>
      <c r="V20" s="439">
        <v>20</v>
      </c>
      <c r="W20" s="553">
        <v>40</v>
      </c>
      <c r="X20" s="92" t="s">
        <v>17</v>
      </c>
      <c r="Y20" s="442" t="s">
        <v>18</v>
      </c>
      <c r="Z20" s="109"/>
      <c r="AB20" s="84"/>
      <c r="AC20" s="423">
        <v>60</v>
      </c>
      <c r="AD20" s="543">
        <v>40</v>
      </c>
      <c r="AE20" s="92" t="s">
        <v>17</v>
      </c>
      <c r="AF20" s="442" t="s">
        <v>18</v>
      </c>
      <c r="AG20" s="109"/>
      <c r="AI20" s="84"/>
      <c r="AJ20" s="423">
        <v>50</v>
      </c>
      <c r="AK20" s="424">
        <v>50</v>
      </c>
      <c r="AL20" s="92" t="s">
        <v>17</v>
      </c>
      <c r="AM20" s="442" t="s">
        <v>18</v>
      </c>
      <c r="AN20" s="109"/>
      <c r="AP20" s="517"/>
      <c r="AQ20" s="545">
        <v>50</v>
      </c>
      <c r="AR20" s="543">
        <v>50</v>
      </c>
      <c r="AS20" s="92" t="s">
        <v>17</v>
      </c>
      <c r="AT20" s="220" t="s">
        <v>18</v>
      </c>
      <c r="AU20" s="109"/>
    </row>
    <row r="21" spans="1:62" ht="16" thickBot="1" x14ac:dyDescent="0.4">
      <c r="A21" s="446"/>
      <c r="B21" s="517"/>
      <c r="C21" s="519">
        <f>C19/C20</f>
        <v>0</v>
      </c>
      <c r="D21" s="92" t="s">
        <v>19</v>
      </c>
      <c r="E21" s="444">
        <f>SUM(C21:C21)</f>
        <v>0</v>
      </c>
      <c r="F21" s="112"/>
      <c r="G21" s="113"/>
      <c r="H21" s="84"/>
      <c r="I21" s="91"/>
      <c r="J21" s="91"/>
      <c r="K21" s="425">
        <f>K19*K20</f>
        <v>0</v>
      </c>
      <c r="L21" s="425">
        <f>L19*L20</f>
        <v>0</v>
      </c>
      <c r="M21" s="425">
        <f>M19*M20</f>
        <v>0</v>
      </c>
      <c r="N21" s="526">
        <f>N19*N20</f>
        <v>0</v>
      </c>
      <c r="O21" s="525">
        <f>O19*O20</f>
        <v>0</v>
      </c>
      <c r="P21" s="92" t="s">
        <v>19</v>
      </c>
      <c r="Q21" s="221">
        <f>SUM(K21:O21)</f>
        <v>0</v>
      </c>
      <c r="R21" s="109"/>
      <c r="S21" s="110"/>
      <c r="T21" s="84"/>
      <c r="U21" s="528">
        <f>U19*U20</f>
        <v>0</v>
      </c>
      <c r="V21" s="440">
        <f>V19*V20</f>
        <v>0</v>
      </c>
      <c r="W21" s="554">
        <f>W19*W20</f>
        <v>0</v>
      </c>
      <c r="X21" s="92" t="s">
        <v>19</v>
      </c>
      <c r="Y21" s="111">
        <f>SUM(U21:W21)</f>
        <v>0</v>
      </c>
      <c r="Z21" s="109"/>
      <c r="AB21" s="84"/>
      <c r="AC21" s="425">
        <f>AC19*AC20</f>
        <v>0</v>
      </c>
      <c r="AD21" s="414">
        <f>AD19*AD20</f>
        <v>0</v>
      </c>
      <c r="AE21" s="92" t="s">
        <v>19</v>
      </c>
      <c r="AF21" s="111">
        <f>SUM(AC21:AD21)</f>
        <v>0</v>
      </c>
      <c r="AG21" s="109"/>
      <c r="AI21" s="84"/>
      <c r="AJ21" s="556">
        <f>AJ19*AJ20</f>
        <v>0</v>
      </c>
      <c r="AK21" s="414">
        <f>AK19*AK20</f>
        <v>0</v>
      </c>
      <c r="AL21" s="92" t="s">
        <v>19</v>
      </c>
      <c r="AM21" s="111">
        <f>SUM(AJ21:AK21)</f>
        <v>0</v>
      </c>
      <c r="AN21" s="109"/>
      <c r="AP21" s="517"/>
      <c r="AQ21" s="546">
        <f>AQ19*AQ20</f>
        <v>0</v>
      </c>
      <c r="AR21" s="414">
        <f>AR19*AR20</f>
        <v>0</v>
      </c>
      <c r="AS21" s="92" t="s">
        <v>19</v>
      </c>
      <c r="AT21" s="221">
        <f>SUM(AQ21:AR21)</f>
        <v>0</v>
      </c>
      <c r="AU21" s="109"/>
    </row>
    <row r="22" spans="1:62" ht="16" thickBot="1" x14ac:dyDescent="0.4">
      <c r="A22" s="446"/>
      <c r="B22" s="117"/>
      <c r="C22" s="114"/>
      <c r="D22" s="115"/>
      <c r="E22" s="114"/>
      <c r="F22" s="116"/>
      <c r="H22" s="117"/>
      <c r="I22" s="114"/>
      <c r="J22" s="114"/>
      <c r="K22" s="114"/>
      <c r="L22" s="114"/>
      <c r="M22" s="114"/>
      <c r="N22" s="114"/>
      <c r="O22" s="114"/>
      <c r="P22" s="115"/>
      <c r="Q22" s="222"/>
      <c r="R22" s="118"/>
      <c r="T22" s="117"/>
      <c r="U22" s="114"/>
      <c r="V22" s="114"/>
      <c r="W22" s="114"/>
      <c r="X22" s="115"/>
      <c r="Y22" s="115"/>
      <c r="Z22" s="118"/>
      <c r="AB22" s="117"/>
      <c r="AC22" s="114"/>
      <c r="AD22" s="114"/>
      <c r="AE22" s="115"/>
      <c r="AF22" s="115"/>
      <c r="AG22" s="118"/>
      <c r="AI22" s="117"/>
      <c r="AJ22" s="114"/>
      <c r="AK22" s="114"/>
      <c r="AL22" s="115"/>
      <c r="AM22" s="115"/>
      <c r="AN22" s="118"/>
      <c r="AP22" s="117"/>
      <c r="AQ22" s="114"/>
      <c r="AR22" s="114"/>
      <c r="AS22" s="115"/>
      <c r="AT22" s="115"/>
      <c r="AU22" s="118"/>
    </row>
    <row r="23" spans="1:62" s="427" customFormat="1" ht="16" thickBot="1" x14ac:dyDescent="0.4">
      <c r="A23" s="640" t="s">
        <v>444</v>
      </c>
      <c r="B23" s="640"/>
      <c r="C23" s="640"/>
      <c r="D23" s="640"/>
      <c r="E23" s="445">
        <f>E21</f>
        <v>0</v>
      </c>
      <c r="F23" s="426"/>
      <c r="H23" s="426"/>
      <c r="I23" s="426"/>
      <c r="J23" s="426"/>
      <c r="K23" s="426"/>
      <c r="L23" s="426"/>
      <c r="M23" s="426"/>
      <c r="N23" s="426"/>
      <c r="O23" s="426"/>
      <c r="P23" s="428"/>
      <c r="Q23" s="428"/>
      <c r="R23" s="428"/>
      <c r="S23" s="428"/>
      <c r="T23" s="429"/>
      <c r="U23" s="426"/>
      <c r="V23" s="426"/>
      <c r="W23" s="426"/>
      <c r="X23" s="426"/>
      <c r="Y23" s="428"/>
      <c r="Z23" s="428"/>
      <c r="AA23" s="428"/>
      <c r="AC23" s="426"/>
      <c r="AD23" s="426"/>
      <c r="AE23" s="426"/>
      <c r="AF23" s="428"/>
      <c r="AG23" s="428"/>
      <c r="AH23" s="428"/>
      <c r="AJ23" s="426"/>
      <c r="AK23" s="426"/>
      <c r="AL23" s="426"/>
      <c r="AM23" s="426"/>
      <c r="AN23" s="426"/>
      <c r="AO23" s="426"/>
      <c r="AP23" s="426"/>
      <c r="AQ23" s="426"/>
      <c r="AR23" s="426"/>
      <c r="AS23" s="426"/>
      <c r="AT23" s="426"/>
      <c r="AU23" s="426"/>
      <c r="AV23" s="428"/>
      <c r="AW23" s="428"/>
      <c r="AX23" s="428"/>
      <c r="AZ23" s="426"/>
      <c r="BA23" s="426"/>
      <c r="BB23" s="426"/>
      <c r="BC23" s="426"/>
      <c r="BD23" s="426"/>
      <c r="BE23" s="426"/>
      <c r="BF23" s="426"/>
      <c r="BG23" s="426"/>
      <c r="BH23" s="428"/>
      <c r="BI23" s="428"/>
      <c r="BJ23" s="428"/>
    </row>
    <row r="24" spans="1:62" s="427" customFormat="1" ht="16" thickBot="1" x14ac:dyDescent="0.4">
      <c r="A24" s="640" t="s">
        <v>445</v>
      </c>
      <c r="B24" s="640"/>
      <c r="C24" s="640"/>
      <c r="D24" s="640"/>
      <c r="E24" s="448" t="str">
        <f>IF(C51=4,"Poor",IF(C51=3,"Good",IF(C51=2,"Better","Best")))</f>
        <v>Poor</v>
      </c>
      <c r="F24" s="426"/>
      <c r="H24" s="426"/>
      <c r="I24" s="426"/>
      <c r="J24" s="426"/>
      <c r="K24" s="426"/>
      <c r="L24" s="426"/>
      <c r="M24" s="426"/>
      <c r="N24" s="426"/>
      <c r="O24" s="426"/>
      <c r="P24" s="428"/>
      <c r="Q24" s="428"/>
      <c r="R24" s="428"/>
      <c r="S24" s="428"/>
      <c r="T24" s="429"/>
      <c r="U24" s="426"/>
      <c r="V24" s="430"/>
      <c r="W24" s="426"/>
      <c r="X24" s="426"/>
      <c r="Y24" s="428"/>
      <c r="Z24" s="428"/>
      <c r="AA24" s="428"/>
      <c r="AC24" s="426"/>
      <c r="AD24" s="426"/>
      <c r="AE24" s="426"/>
      <c r="AF24" s="428"/>
      <c r="AG24" s="428"/>
      <c r="AH24" s="428"/>
      <c r="AJ24" s="426"/>
      <c r="AK24" s="426"/>
      <c r="AL24" s="426"/>
      <c r="AM24" s="426"/>
      <c r="AN24" s="426"/>
      <c r="AO24" s="426"/>
      <c r="AP24" s="426"/>
      <c r="AQ24" s="426"/>
      <c r="AR24" s="426"/>
      <c r="AS24" s="426"/>
      <c r="AT24" s="426"/>
      <c r="AU24" s="430"/>
      <c r="AV24" s="428"/>
      <c r="AW24" s="428"/>
      <c r="AX24" s="428"/>
      <c r="AZ24" s="426"/>
      <c r="BA24" s="426"/>
      <c r="BB24" s="426"/>
      <c r="BC24" s="426"/>
      <c r="BD24" s="426"/>
      <c r="BE24" s="426"/>
      <c r="BF24" s="426"/>
      <c r="BG24" s="426"/>
      <c r="BH24" s="428"/>
      <c r="BI24" s="428"/>
      <c r="BJ24" s="428"/>
    </row>
    <row r="25" spans="1:62" s="427" customFormat="1" x14ac:dyDescent="0.35">
      <c r="B25" s="426"/>
      <c r="C25" s="426"/>
      <c r="D25" s="428"/>
      <c r="E25" s="426"/>
      <c r="F25" s="426"/>
      <c r="H25" s="426"/>
      <c r="I25" s="426"/>
      <c r="J25" s="426"/>
      <c r="K25" s="426"/>
      <c r="L25" s="426"/>
      <c r="M25" s="426"/>
      <c r="N25" s="426"/>
      <c r="O25" s="426"/>
      <c r="P25" s="428"/>
      <c r="Q25" s="428"/>
      <c r="R25" s="428"/>
      <c r="S25" s="428"/>
      <c r="T25" s="429"/>
      <c r="U25" s="426"/>
      <c r="V25" s="426"/>
      <c r="W25" s="426"/>
      <c r="X25" s="426"/>
      <c r="Y25" s="428"/>
      <c r="Z25" s="428"/>
      <c r="AA25" s="428"/>
      <c r="AC25" s="426"/>
      <c r="AD25" s="426"/>
      <c r="AE25" s="426"/>
      <c r="AF25" s="428"/>
      <c r="AG25" s="428"/>
      <c r="AH25" s="428"/>
      <c r="AJ25" s="426"/>
      <c r="AK25" s="431"/>
      <c r="AL25" s="431"/>
      <c r="AM25" s="431"/>
      <c r="AN25" s="431"/>
      <c r="AO25" s="431"/>
      <c r="AP25" s="431"/>
      <c r="AQ25" s="431"/>
      <c r="AR25" s="431"/>
      <c r="AS25" s="431"/>
      <c r="AT25" s="431"/>
      <c r="AU25" s="426"/>
      <c r="AV25" s="428"/>
      <c r="AW25" s="428"/>
      <c r="AX25" s="428"/>
      <c r="AZ25" s="426"/>
      <c r="BA25" s="426"/>
      <c r="BB25" s="426"/>
      <c r="BC25" s="426"/>
      <c r="BD25" s="426"/>
      <c r="BE25" s="426"/>
      <c r="BF25" s="426"/>
      <c r="BG25" s="426"/>
      <c r="BH25" s="428"/>
      <c r="BI25" s="428"/>
      <c r="BJ25" s="428"/>
    </row>
    <row r="26" spans="1:62" s="427" customFormat="1" x14ac:dyDescent="0.35">
      <c r="B26" s="426"/>
      <c r="C26" s="426"/>
      <c r="D26" s="428"/>
      <c r="E26" s="426"/>
      <c r="F26" s="426"/>
      <c r="H26" s="426"/>
      <c r="I26" s="426"/>
      <c r="J26" s="426"/>
      <c r="K26" s="426"/>
      <c r="L26" s="426"/>
      <c r="M26" s="426"/>
      <c r="N26" s="426"/>
      <c r="O26" s="426"/>
      <c r="P26" s="428"/>
      <c r="Q26" s="428"/>
      <c r="R26" s="428"/>
      <c r="S26" s="428"/>
      <c r="T26" s="429"/>
      <c r="U26" s="426"/>
      <c r="V26" s="426"/>
      <c r="W26" s="426"/>
      <c r="X26" s="426"/>
      <c r="Y26" s="428"/>
      <c r="Z26" s="428"/>
      <c r="AA26" s="428"/>
      <c r="AC26" s="426"/>
      <c r="AD26" s="426"/>
      <c r="AE26" s="426"/>
      <c r="AF26" s="428"/>
      <c r="AG26" s="428"/>
      <c r="AH26" s="428"/>
      <c r="AJ26" s="426"/>
      <c r="AK26" s="426"/>
      <c r="AL26" s="426"/>
      <c r="AM26" s="426"/>
      <c r="AN26" s="426"/>
      <c r="AO26" s="426"/>
      <c r="AP26" s="426"/>
      <c r="AQ26" s="426"/>
      <c r="AR26" s="426"/>
      <c r="AS26" s="426"/>
      <c r="AT26" s="426"/>
      <c r="AU26" s="426"/>
      <c r="AV26" s="428"/>
      <c r="AW26" s="428"/>
      <c r="AX26" s="428"/>
      <c r="AZ26" s="426"/>
      <c r="BA26" s="426"/>
      <c r="BB26" s="426"/>
      <c r="BC26" s="426"/>
      <c r="BD26" s="426"/>
      <c r="BE26" s="426"/>
      <c r="BF26" s="426"/>
      <c r="BG26" s="426"/>
      <c r="BH26" s="428"/>
      <c r="BI26" s="428"/>
      <c r="BJ26" s="428"/>
    </row>
    <row r="27" spans="1:62" s="427" customFormat="1" x14ac:dyDescent="0.35">
      <c r="B27" s="432"/>
      <c r="C27" s="426"/>
      <c r="D27" s="428"/>
      <c r="E27" s="426"/>
      <c r="F27" s="426"/>
      <c r="H27" s="426"/>
      <c r="I27" s="426"/>
      <c r="J27" s="426"/>
      <c r="K27" s="426"/>
      <c r="L27" s="426"/>
      <c r="M27" s="426"/>
      <c r="N27" s="426"/>
      <c r="O27" s="426"/>
      <c r="P27" s="428"/>
      <c r="Q27" s="428"/>
      <c r="R27" s="428"/>
      <c r="S27" s="428"/>
      <c r="T27" s="429"/>
      <c r="U27" s="426"/>
      <c r="V27" s="433"/>
      <c r="W27" s="426"/>
      <c r="X27" s="426"/>
      <c r="Y27" s="428"/>
      <c r="Z27" s="428"/>
      <c r="AA27" s="428"/>
      <c r="AC27" s="426"/>
      <c r="AD27" s="426"/>
      <c r="AE27" s="426"/>
      <c r="AF27" s="428"/>
      <c r="AG27" s="428"/>
      <c r="AH27" s="428"/>
      <c r="AJ27" s="426"/>
      <c r="AK27" s="426"/>
      <c r="AL27" s="426"/>
      <c r="AM27" s="426"/>
      <c r="AN27" s="426"/>
      <c r="AO27" s="426"/>
      <c r="AP27" s="426"/>
      <c r="AQ27" s="426"/>
      <c r="AR27" s="426"/>
      <c r="AS27" s="426"/>
      <c r="AT27" s="426"/>
      <c r="AU27" s="426"/>
      <c r="AV27" s="428"/>
      <c r="AW27" s="428"/>
      <c r="AX27" s="428"/>
      <c r="AZ27" s="426"/>
      <c r="BA27" s="426"/>
      <c r="BB27" s="426"/>
      <c r="BC27" s="426"/>
      <c r="BD27" s="426"/>
      <c r="BE27" s="426"/>
      <c r="BF27" s="426"/>
      <c r="BG27" s="426"/>
      <c r="BH27" s="428"/>
      <c r="BI27" s="428"/>
      <c r="BJ27" s="428"/>
    </row>
    <row r="28" spans="1:62" s="427" customFormat="1" hidden="1" x14ac:dyDescent="0.35">
      <c r="B28" s="432"/>
      <c r="C28" s="426"/>
      <c r="D28" s="428"/>
      <c r="E28" s="426"/>
      <c r="F28" s="426"/>
      <c r="H28" s="426"/>
      <c r="I28" s="426"/>
      <c r="J28" s="426"/>
      <c r="K28" s="426"/>
      <c r="L28" s="426"/>
      <c r="M28" s="426"/>
      <c r="N28" s="426"/>
      <c r="O28" s="426"/>
      <c r="P28" s="428"/>
      <c r="Q28" s="428"/>
      <c r="R28" s="428"/>
      <c r="S28" s="428"/>
      <c r="T28" s="429"/>
      <c r="U28" s="426"/>
      <c r="V28" s="426"/>
      <c r="W28" s="426"/>
      <c r="X28" s="426"/>
      <c r="Y28" s="428"/>
      <c r="Z28" s="428"/>
      <c r="AA28" s="428"/>
      <c r="AC28" s="426"/>
      <c r="AD28" s="426"/>
      <c r="AE28" s="426"/>
      <c r="AF28" s="428"/>
      <c r="AG28" s="428"/>
      <c r="AH28" s="428"/>
      <c r="AJ28" s="426"/>
      <c r="AK28" s="426"/>
      <c r="AL28" s="426"/>
      <c r="AM28" s="426"/>
      <c r="AN28" s="426"/>
      <c r="AO28" s="426"/>
      <c r="AP28" s="426"/>
      <c r="AQ28" s="426"/>
      <c r="AR28" s="426"/>
      <c r="AS28" s="426"/>
      <c r="AT28" s="426"/>
      <c r="AU28" s="426"/>
      <c r="AV28" s="428"/>
      <c r="AW28" s="428"/>
      <c r="AX28" s="428"/>
      <c r="AZ28" s="426"/>
      <c r="BA28" s="426"/>
      <c r="BB28" s="426"/>
      <c r="BC28" s="426"/>
      <c r="BD28" s="426"/>
      <c r="BE28" s="426"/>
      <c r="BF28" s="426"/>
      <c r="BG28" s="426"/>
      <c r="BH28" s="428"/>
      <c r="BI28" s="428"/>
      <c r="BJ28" s="428"/>
    </row>
    <row r="29" spans="1:62" s="427" customFormat="1" hidden="1" x14ac:dyDescent="0.35">
      <c r="B29" s="432"/>
      <c r="C29" s="426"/>
      <c r="D29" s="428"/>
      <c r="E29" s="426"/>
      <c r="F29" s="426"/>
      <c r="H29" s="426"/>
      <c r="I29" s="426"/>
      <c r="J29" s="426"/>
      <c r="K29" s="426"/>
      <c r="L29" s="426"/>
      <c r="M29" s="426"/>
      <c r="N29" s="426"/>
      <c r="O29" s="426"/>
      <c r="P29" s="428"/>
      <c r="Q29" s="428"/>
      <c r="R29" s="428"/>
      <c r="S29" s="428"/>
      <c r="T29" s="429"/>
      <c r="U29" s="426"/>
      <c r="V29" s="426"/>
      <c r="W29" s="426"/>
      <c r="X29" s="426"/>
      <c r="Y29" s="428"/>
      <c r="Z29" s="428"/>
      <c r="AA29" s="428"/>
      <c r="AC29" s="426"/>
      <c r="AD29" s="426"/>
      <c r="AE29" s="426"/>
      <c r="AF29" s="428"/>
      <c r="AG29" s="428"/>
      <c r="AH29" s="428"/>
      <c r="AJ29" s="426"/>
      <c r="AK29" s="426"/>
      <c r="AL29" s="426"/>
      <c r="AM29" s="426"/>
      <c r="AN29" s="426"/>
      <c r="AO29" s="426"/>
      <c r="AP29" s="426"/>
      <c r="AQ29" s="426"/>
      <c r="AR29" s="426"/>
      <c r="AS29" s="426"/>
      <c r="AT29" s="426"/>
      <c r="AU29" s="426"/>
      <c r="AV29" s="428"/>
      <c r="AW29" s="428"/>
      <c r="AX29" s="428"/>
      <c r="AZ29" s="426"/>
      <c r="BA29" s="426"/>
      <c r="BB29" s="426"/>
      <c r="BC29" s="426"/>
      <c r="BD29" s="426"/>
      <c r="BE29" s="426"/>
      <c r="BF29" s="426"/>
      <c r="BG29" s="426"/>
      <c r="BH29" s="428"/>
      <c r="BI29" s="428"/>
      <c r="BJ29" s="428"/>
    </row>
    <row r="30" spans="1:62" s="427" customFormat="1" hidden="1" x14ac:dyDescent="0.35">
      <c r="B30" s="432"/>
      <c r="C30" s="426"/>
      <c r="D30" s="428"/>
      <c r="O30" s="426"/>
      <c r="P30" s="428"/>
      <c r="Q30" s="428"/>
      <c r="R30" s="428"/>
      <c r="S30" s="428"/>
      <c r="T30" s="429"/>
      <c r="U30" s="426"/>
      <c r="V30" s="426"/>
      <c r="W30" s="426"/>
      <c r="X30" s="426"/>
      <c r="Y30" s="428"/>
      <c r="Z30" s="428"/>
      <c r="AA30" s="428"/>
      <c r="AC30" s="426"/>
      <c r="AD30" s="426"/>
      <c r="AE30" s="426"/>
      <c r="AF30" s="428"/>
      <c r="AG30" s="428"/>
      <c r="AH30" s="428"/>
      <c r="AJ30" s="426"/>
      <c r="AK30" s="426"/>
      <c r="AL30" s="426"/>
      <c r="AM30" s="426"/>
      <c r="AN30" s="426"/>
      <c r="AO30" s="426"/>
      <c r="AP30" s="426"/>
      <c r="AQ30" s="426"/>
      <c r="AR30" s="426"/>
      <c r="AS30" s="426"/>
      <c r="AT30" s="426"/>
      <c r="AU30" s="426"/>
      <c r="AV30" s="428"/>
      <c r="AW30" s="428"/>
      <c r="AX30" s="428"/>
      <c r="AZ30" s="426"/>
      <c r="BA30" s="426"/>
      <c r="BB30" s="426"/>
      <c r="BC30" s="426"/>
      <c r="BD30" s="426"/>
      <c r="BE30" s="426"/>
      <c r="BF30" s="426"/>
      <c r="BG30" s="426"/>
      <c r="BH30" s="428"/>
      <c r="BI30" s="428"/>
      <c r="BJ30" s="428"/>
    </row>
    <row r="31" spans="1:62" s="427" customFormat="1" hidden="1" x14ac:dyDescent="0.35">
      <c r="B31" s="432"/>
      <c r="C31" s="426"/>
      <c r="E31" s="426"/>
      <c r="F31" s="426"/>
      <c r="G31" s="428"/>
      <c r="H31" s="426"/>
      <c r="I31" s="426"/>
      <c r="K31" s="426"/>
      <c r="L31" s="426"/>
      <c r="M31" s="432"/>
      <c r="N31" s="426"/>
      <c r="O31" s="426"/>
      <c r="P31" s="428"/>
      <c r="Q31" s="428"/>
      <c r="R31" s="428"/>
      <c r="S31" s="428"/>
      <c r="T31" s="429"/>
      <c r="U31" s="426"/>
      <c r="V31" s="426"/>
      <c r="W31" s="426"/>
      <c r="X31" s="426"/>
      <c r="Y31" s="428"/>
      <c r="Z31" s="428"/>
      <c r="AA31" s="428"/>
      <c r="AC31" s="426"/>
      <c r="AD31" s="426"/>
      <c r="AE31" s="426"/>
      <c r="AF31" s="428"/>
      <c r="AG31" s="428"/>
      <c r="AH31" s="428"/>
      <c r="AJ31" s="426"/>
      <c r="AK31" s="426"/>
      <c r="AL31" s="426"/>
      <c r="AM31" s="426"/>
      <c r="AN31" s="426"/>
      <c r="AO31" s="426"/>
      <c r="AP31" s="426"/>
      <c r="AQ31" s="426"/>
      <c r="AR31" s="426"/>
      <c r="AS31" s="426"/>
      <c r="AT31" s="426"/>
      <c r="AU31" s="426"/>
      <c r="AV31" s="428"/>
      <c r="AW31" s="428"/>
      <c r="AX31" s="428"/>
      <c r="AZ31" s="426"/>
      <c r="BA31" s="426"/>
      <c r="BB31" s="426"/>
      <c r="BC31" s="426"/>
      <c r="BD31" s="426"/>
      <c r="BE31" s="426"/>
      <c r="BF31" s="426"/>
      <c r="BG31" s="426"/>
      <c r="BH31" s="428"/>
      <c r="BI31" s="428"/>
      <c r="BJ31" s="428"/>
    </row>
    <row r="32" spans="1:62" s="427" customFormat="1" hidden="1" x14ac:dyDescent="0.35">
      <c r="B32" s="432"/>
      <c r="C32" s="426"/>
      <c r="D32" s="428"/>
      <c r="E32" s="426"/>
      <c r="F32" s="426"/>
      <c r="H32" s="426"/>
      <c r="I32" s="426"/>
      <c r="J32" s="426"/>
      <c r="K32" s="426"/>
      <c r="L32" s="426"/>
      <c r="M32" s="426"/>
      <c r="N32" s="426"/>
      <c r="O32" s="426"/>
      <c r="P32" s="428"/>
      <c r="Q32" s="428"/>
      <c r="R32" s="428"/>
      <c r="S32" s="428"/>
      <c r="T32" s="429"/>
      <c r="U32" s="426"/>
      <c r="V32" s="426"/>
      <c r="W32" s="426"/>
      <c r="X32" s="426"/>
      <c r="Y32" s="428"/>
      <c r="Z32" s="428"/>
      <c r="AA32" s="428"/>
      <c r="AC32" s="426"/>
      <c r="AD32" s="426"/>
      <c r="AE32" s="426"/>
      <c r="AF32" s="428"/>
      <c r="AG32" s="428"/>
      <c r="AH32" s="428"/>
      <c r="AJ32" s="426"/>
      <c r="AK32" s="426"/>
      <c r="AL32" s="426"/>
      <c r="AM32" s="426"/>
      <c r="AN32" s="426"/>
      <c r="AO32" s="426"/>
      <c r="AP32" s="426"/>
      <c r="AQ32" s="426"/>
      <c r="AR32" s="426"/>
      <c r="AS32" s="426"/>
      <c r="AT32" s="426"/>
      <c r="AU32" s="426"/>
      <c r="AV32" s="428"/>
      <c r="AW32" s="428"/>
      <c r="AX32" s="428"/>
      <c r="AZ32" s="426"/>
      <c r="BA32" s="426"/>
      <c r="BB32" s="426"/>
      <c r="BC32" s="426"/>
      <c r="BD32" s="426"/>
      <c r="BE32" s="426"/>
      <c r="BF32" s="426"/>
      <c r="BG32" s="426"/>
      <c r="BH32" s="428"/>
      <c r="BI32" s="428"/>
      <c r="BJ32" s="428"/>
    </row>
    <row r="33" spans="1:62" s="427" customFormat="1" hidden="1" x14ac:dyDescent="0.35">
      <c r="B33" s="432"/>
      <c r="C33" s="426"/>
      <c r="D33" s="428"/>
      <c r="E33" s="426"/>
      <c r="F33" s="426"/>
      <c r="H33" s="426"/>
      <c r="I33" s="426"/>
      <c r="J33" s="426"/>
      <c r="K33" s="426"/>
      <c r="L33" s="426"/>
      <c r="M33" s="432"/>
      <c r="N33" s="426"/>
      <c r="O33" s="426"/>
      <c r="P33" s="428"/>
      <c r="Q33" s="428"/>
      <c r="R33" s="428"/>
      <c r="S33" s="428"/>
      <c r="T33" s="429"/>
      <c r="U33" s="426"/>
      <c r="V33" s="426"/>
      <c r="W33" s="426"/>
      <c r="X33" s="426"/>
      <c r="Y33" s="428"/>
      <c r="Z33" s="428"/>
      <c r="AA33" s="428"/>
      <c r="AC33" s="426"/>
      <c r="AD33" s="426"/>
      <c r="AE33" s="426"/>
      <c r="AF33" s="428"/>
      <c r="AG33" s="428"/>
      <c r="AH33" s="428"/>
      <c r="AJ33" s="426"/>
      <c r="AK33" s="426"/>
      <c r="AL33" s="426"/>
      <c r="AM33" s="426"/>
      <c r="AN33" s="426"/>
      <c r="AO33" s="426"/>
      <c r="AP33" s="426"/>
      <c r="AQ33" s="426"/>
      <c r="AR33" s="426"/>
      <c r="AS33" s="426"/>
      <c r="AT33" s="426"/>
      <c r="AU33" s="426"/>
      <c r="AV33" s="428"/>
      <c r="AW33" s="428"/>
      <c r="AX33" s="428"/>
      <c r="AZ33" s="426"/>
      <c r="BA33" s="426"/>
      <c r="BB33" s="426"/>
      <c r="BC33" s="426"/>
      <c r="BD33" s="426"/>
      <c r="BE33" s="426"/>
      <c r="BF33" s="426"/>
      <c r="BG33" s="426"/>
      <c r="BH33" s="428"/>
      <c r="BI33" s="428"/>
      <c r="BJ33" s="428"/>
    </row>
    <row r="34" spans="1:62" s="427" customFormat="1" hidden="1" x14ac:dyDescent="0.35">
      <c r="B34" s="432"/>
      <c r="C34" s="426"/>
      <c r="D34" s="428"/>
      <c r="E34" s="426"/>
      <c r="F34" s="426"/>
      <c r="H34" s="426"/>
      <c r="I34" s="426"/>
      <c r="J34" s="426"/>
      <c r="K34" s="426"/>
      <c r="L34" s="426"/>
      <c r="M34" s="426"/>
      <c r="N34" s="426"/>
      <c r="O34" s="426"/>
      <c r="P34" s="428"/>
      <c r="Q34" s="428"/>
      <c r="R34" s="428"/>
      <c r="S34" s="428"/>
      <c r="T34" s="429"/>
      <c r="U34" s="426"/>
      <c r="V34" s="426"/>
      <c r="W34" s="426"/>
      <c r="X34" s="426"/>
      <c r="Y34" s="428"/>
      <c r="Z34" s="428"/>
      <c r="AA34" s="428"/>
      <c r="AC34" s="426"/>
      <c r="AD34" s="426"/>
      <c r="AE34" s="426"/>
      <c r="AF34" s="428"/>
      <c r="AG34" s="428"/>
      <c r="AH34" s="428"/>
      <c r="AJ34" s="426"/>
      <c r="AK34" s="426"/>
      <c r="AL34" s="426"/>
      <c r="AM34" s="426"/>
      <c r="AN34" s="426"/>
      <c r="AO34" s="426"/>
      <c r="AP34" s="426"/>
      <c r="AQ34" s="426"/>
      <c r="AR34" s="426"/>
      <c r="AS34" s="426"/>
      <c r="AT34" s="426"/>
      <c r="AU34" s="426"/>
      <c r="AV34" s="428"/>
      <c r="AW34" s="428"/>
      <c r="AX34" s="428"/>
      <c r="AZ34" s="426"/>
      <c r="BA34" s="426"/>
      <c r="BB34" s="426"/>
      <c r="BC34" s="426"/>
      <c r="BD34" s="426"/>
      <c r="BE34" s="426"/>
      <c r="BF34" s="426"/>
      <c r="BG34" s="426"/>
      <c r="BH34" s="428"/>
      <c r="BI34" s="428"/>
      <c r="BJ34" s="428"/>
    </row>
    <row r="35" spans="1:62" s="427" customFormat="1" hidden="1" x14ac:dyDescent="0.35">
      <c r="D35" s="429"/>
      <c r="K35" s="426"/>
      <c r="L35" s="426"/>
      <c r="M35" s="426"/>
      <c r="N35" s="426"/>
      <c r="O35" s="426"/>
      <c r="P35" s="428"/>
      <c r="Q35" s="428"/>
      <c r="R35" s="428"/>
      <c r="S35" s="428"/>
      <c r="T35" s="429"/>
      <c r="U35" s="426"/>
      <c r="V35" s="426"/>
      <c r="W35" s="426"/>
      <c r="X35" s="426"/>
      <c r="Y35" s="428"/>
      <c r="Z35" s="428"/>
      <c r="AA35" s="428"/>
      <c r="AC35" s="426"/>
      <c r="AD35" s="426"/>
      <c r="AE35" s="426"/>
      <c r="AF35" s="428"/>
      <c r="AG35" s="428"/>
      <c r="AH35" s="428"/>
      <c r="AJ35" s="426"/>
      <c r="AK35" s="426"/>
      <c r="AL35" s="426"/>
      <c r="AM35" s="426"/>
      <c r="AN35" s="426"/>
      <c r="AO35" s="426"/>
      <c r="AP35" s="426"/>
      <c r="AQ35" s="426"/>
      <c r="AR35" s="426"/>
      <c r="AS35" s="426"/>
      <c r="AT35" s="426"/>
      <c r="AU35" s="426"/>
      <c r="AV35" s="428"/>
      <c r="AW35" s="428"/>
      <c r="AX35" s="428"/>
      <c r="AZ35" s="426"/>
      <c r="BA35" s="426"/>
      <c r="BB35" s="426"/>
      <c r="BC35" s="426"/>
      <c r="BD35" s="426"/>
      <c r="BE35" s="426"/>
      <c r="BF35" s="426"/>
      <c r="BG35" s="426"/>
      <c r="BH35" s="428"/>
      <c r="BI35" s="428"/>
      <c r="BJ35" s="428"/>
    </row>
    <row r="36" spans="1:62" s="427" customFormat="1" hidden="1" x14ac:dyDescent="0.35">
      <c r="B36" s="426"/>
      <c r="C36" s="426"/>
      <c r="D36" s="428"/>
      <c r="E36" s="426"/>
      <c r="F36" s="426"/>
      <c r="H36" s="426"/>
      <c r="I36" s="426"/>
      <c r="J36" s="426"/>
      <c r="K36" s="426"/>
      <c r="L36" s="426"/>
      <c r="M36" s="426"/>
      <c r="N36" s="426"/>
      <c r="O36" s="426"/>
      <c r="P36" s="428"/>
      <c r="Q36" s="428"/>
      <c r="R36" s="428"/>
      <c r="S36" s="428"/>
      <c r="T36" s="429"/>
      <c r="U36" s="426"/>
      <c r="V36" s="426"/>
      <c r="W36" s="426"/>
      <c r="X36" s="426"/>
      <c r="Y36" s="428"/>
      <c r="Z36" s="428"/>
      <c r="AA36" s="428"/>
      <c r="AC36" s="426"/>
      <c r="AD36" s="426"/>
      <c r="AE36" s="426"/>
      <c r="AF36" s="428"/>
      <c r="AG36" s="428"/>
      <c r="AH36" s="428"/>
      <c r="AJ36" s="426"/>
      <c r="AK36" s="426"/>
      <c r="AL36" s="426"/>
      <c r="AM36" s="426"/>
      <c r="AN36" s="426"/>
      <c r="AO36" s="426"/>
      <c r="AP36" s="426"/>
      <c r="AQ36" s="426"/>
      <c r="AR36" s="426"/>
      <c r="AS36" s="426"/>
      <c r="AT36" s="426"/>
      <c r="AU36" s="426"/>
      <c r="AV36" s="428"/>
      <c r="AW36" s="428"/>
      <c r="AX36" s="428"/>
      <c r="AZ36" s="426"/>
      <c r="BA36" s="426"/>
      <c r="BB36" s="426"/>
      <c r="BC36" s="426"/>
      <c r="BD36" s="426"/>
      <c r="BE36" s="426"/>
      <c r="BF36" s="426"/>
      <c r="BG36" s="426"/>
      <c r="BH36" s="428"/>
      <c r="BI36" s="428"/>
      <c r="BJ36" s="428"/>
    </row>
    <row r="37" spans="1:62" s="427" customFormat="1" hidden="1" x14ac:dyDescent="0.35">
      <c r="B37" s="426"/>
      <c r="C37" s="426"/>
      <c r="D37" s="428"/>
      <c r="E37" s="426"/>
      <c r="F37" s="426"/>
      <c r="H37" s="426"/>
      <c r="I37" s="426"/>
      <c r="J37" s="426"/>
      <c r="K37" s="426"/>
      <c r="L37" s="426"/>
      <c r="M37" s="426"/>
      <c r="N37" s="426"/>
      <c r="O37" s="426"/>
      <c r="P37" s="428"/>
      <c r="Q37" s="428"/>
      <c r="R37" s="428"/>
      <c r="S37" s="428"/>
      <c r="T37" s="429"/>
      <c r="U37" s="426"/>
      <c r="V37" s="426"/>
      <c r="W37" s="426"/>
      <c r="X37" s="426"/>
      <c r="Y37" s="428"/>
      <c r="Z37" s="428"/>
      <c r="AA37" s="428"/>
      <c r="AC37" s="426"/>
      <c r="AD37" s="426"/>
      <c r="AE37" s="426"/>
      <c r="AF37" s="428"/>
      <c r="AG37" s="428"/>
      <c r="AH37" s="428"/>
      <c r="AJ37" s="426"/>
      <c r="AK37" s="426"/>
      <c r="AL37" s="426"/>
      <c r="AM37" s="426"/>
      <c r="AN37" s="426"/>
      <c r="AO37" s="426"/>
      <c r="AP37" s="426"/>
      <c r="AQ37" s="426"/>
      <c r="AR37" s="426"/>
      <c r="AS37" s="426"/>
      <c r="AT37" s="426"/>
      <c r="AU37" s="426"/>
      <c r="AV37" s="428"/>
      <c r="AW37" s="428"/>
      <c r="AX37" s="428"/>
      <c r="AZ37" s="426"/>
      <c r="BA37" s="426"/>
      <c r="BB37" s="426"/>
      <c r="BC37" s="426"/>
      <c r="BD37" s="426"/>
      <c r="BE37" s="426"/>
      <c r="BF37" s="426"/>
      <c r="BG37" s="426"/>
      <c r="BH37" s="428"/>
      <c r="BI37" s="428"/>
      <c r="BJ37" s="428"/>
    </row>
    <row r="38" spans="1:62" s="427" customFormat="1" hidden="1" x14ac:dyDescent="0.35">
      <c r="B38" s="426"/>
      <c r="C38" s="426"/>
      <c r="D38" s="428"/>
      <c r="E38" s="426"/>
      <c r="F38" s="426"/>
      <c r="H38" s="426"/>
      <c r="I38" s="426"/>
      <c r="J38" s="426"/>
      <c r="K38" s="426"/>
      <c r="L38" s="426"/>
      <c r="M38" s="426"/>
      <c r="N38" s="426"/>
      <c r="O38" s="426"/>
      <c r="P38" s="428"/>
      <c r="Q38" s="428"/>
      <c r="R38" s="428"/>
      <c r="S38" s="428"/>
      <c r="T38" s="429"/>
      <c r="U38" s="426"/>
      <c r="V38" s="426"/>
      <c r="W38" s="426"/>
      <c r="X38" s="426"/>
      <c r="Y38" s="428"/>
      <c r="Z38" s="428"/>
      <c r="AA38" s="428"/>
      <c r="AC38" s="426"/>
      <c r="AD38" s="426"/>
      <c r="AE38" s="426"/>
      <c r="AF38" s="428"/>
      <c r="AG38" s="428"/>
      <c r="AH38" s="428"/>
      <c r="AJ38" s="426"/>
      <c r="AK38" s="426"/>
      <c r="AL38" s="426"/>
      <c r="AM38" s="426"/>
      <c r="AN38" s="426"/>
      <c r="AO38" s="426"/>
      <c r="AP38" s="426"/>
      <c r="AQ38" s="426"/>
      <c r="AR38" s="426"/>
      <c r="AS38" s="426"/>
      <c r="AT38" s="426"/>
      <c r="AU38" s="426"/>
      <c r="AV38" s="428"/>
      <c r="AW38" s="428"/>
      <c r="AX38" s="428"/>
      <c r="AZ38" s="426"/>
      <c r="BA38" s="426"/>
      <c r="BB38" s="426"/>
      <c r="BC38" s="426"/>
      <c r="BD38" s="426"/>
      <c r="BE38" s="426"/>
      <c r="BF38" s="426"/>
      <c r="BG38" s="426"/>
      <c r="BH38" s="428"/>
      <c r="BI38" s="428"/>
      <c r="BJ38" s="428"/>
    </row>
    <row r="39" spans="1:62" s="427" customFormat="1" hidden="1" x14ac:dyDescent="0.35">
      <c r="B39" s="426"/>
      <c r="C39" s="426"/>
      <c r="D39" s="428"/>
      <c r="E39" s="426"/>
      <c r="F39" s="426"/>
      <c r="H39" s="426"/>
      <c r="I39" s="426"/>
      <c r="J39" s="426"/>
      <c r="K39" s="426"/>
      <c r="L39" s="426"/>
      <c r="M39" s="426"/>
      <c r="N39" s="426"/>
      <c r="O39" s="426"/>
      <c r="P39" s="428"/>
      <c r="Q39" s="428"/>
      <c r="R39" s="428"/>
      <c r="S39" s="428"/>
      <c r="T39" s="429"/>
      <c r="U39" s="426"/>
      <c r="V39" s="426"/>
      <c r="W39" s="426"/>
      <c r="X39" s="426"/>
      <c r="Y39" s="428"/>
      <c r="Z39" s="428"/>
      <c r="AA39" s="428"/>
      <c r="AC39" s="426"/>
      <c r="AD39" s="426"/>
      <c r="AE39" s="426"/>
      <c r="AF39" s="428"/>
      <c r="AG39" s="428"/>
      <c r="AH39" s="428"/>
      <c r="AJ39" s="426"/>
      <c r="AK39" s="426"/>
      <c r="AL39" s="426"/>
      <c r="AM39" s="426"/>
      <c r="AN39" s="426"/>
      <c r="AO39" s="426"/>
      <c r="AP39" s="426"/>
      <c r="AQ39" s="426"/>
      <c r="AR39" s="426"/>
      <c r="AS39" s="426"/>
      <c r="AT39" s="426"/>
      <c r="AU39" s="426"/>
      <c r="AV39" s="428"/>
      <c r="AW39" s="428"/>
      <c r="AX39" s="428"/>
      <c r="AZ39" s="426"/>
      <c r="BA39" s="426"/>
      <c r="BB39" s="426"/>
      <c r="BC39" s="426"/>
      <c r="BD39" s="426"/>
      <c r="BE39" s="426"/>
      <c r="BF39" s="426"/>
      <c r="BG39" s="426"/>
      <c r="BH39" s="428"/>
      <c r="BI39" s="428"/>
      <c r="BJ39" s="428"/>
    </row>
    <row r="40" spans="1:62" s="427" customFormat="1" hidden="1" x14ac:dyDescent="0.35">
      <c r="B40" s="426"/>
      <c r="C40" s="426"/>
      <c r="D40" s="428"/>
      <c r="E40" s="426"/>
      <c r="F40" s="426"/>
      <c r="H40" s="426"/>
      <c r="I40" s="426"/>
      <c r="J40" s="426"/>
      <c r="K40" s="426"/>
      <c r="L40" s="426"/>
      <c r="M40" s="426"/>
      <c r="N40" s="426"/>
      <c r="O40" s="426"/>
      <c r="P40" s="428"/>
      <c r="Q40" s="428"/>
      <c r="R40" s="428"/>
      <c r="S40" s="428"/>
      <c r="T40" s="429"/>
      <c r="U40" s="426"/>
      <c r="V40" s="426"/>
      <c r="W40" s="426"/>
      <c r="X40" s="426"/>
      <c r="Y40" s="428"/>
      <c r="Z40" s="428"/>
      <c r="AA40" s="428"/>
      <c r="AC40" s="426"/>
      <c r="AD40" s="426"/>
      <c r="AE40" s="426"/>
      <c r="AF40" s="428"/>
      <c r="AG40" s="428"/>
      <c r="AH40" s="428"/>
      <c r="AJ40" s="426"/>
      <c r="AK40" s="426"/>
      <c r="AL40" s="426"/>
      <c r="AM40" s="426"/>
      <c r="AN40" s="426"/>
      <c r="AO40" s="426"/>
      <c r="AP40" s="426"/>
      <c r="AQ40" s="426"/>
      <c r="AR40" s="426"/>
      <c r="AS40" s="426"/>
      <c r="AT40" s="426"/>
      <c r="AU40" s="426"/>
      <c r="AV40" s="428"/>
      <c r="AW40" s="428"/>
      <c r="AX40" s="428"/>
      <c r="AZ40" s="426"/>
      <c r="BA40" s="426"/>
      <c r="BB40" s="426"/>
      <c r="BC40" s="426"/>
      <c r="BD40" s="426"/>
      <c r="BE40" s="426"/>
      <c r="BF40" s="426"/>
      <c r="BG40" s="426"/>
      <c r="BH40" s="428"/>
      <c r="BI40" s="428"/>
      <c r="BJ40" s="428"/>
    </row>
    <row r="41" spans="1:62" s="427" customFormat="1" hidden="1" x14ac:dyDescent="0.35">
      <c r="B41" s="426"/>
      <c r="C41" s="426"/>
      <c r="D41" s="428"/>
      <c r="E41" s="426"/>
      <c r="F41" s="426"/>
      <c r="H41" s="426"/>
      <c r="I41" s="426"/>
      <c r="J41" s="426"/>
      <c r="K41" s="426"/>
      <c r="L41" s="426"/>
      <c r="M41" s="426"/>
      <c r="N41" s="426"/>
      <c r="O41" s="426"/>
      <c r="P41" s="428"/>
      <c r="Q41" s="428"/>
      <c r="R41" s="428"/>
      <c r="S41" s="428"/>
      <c r="T41" s="429"/>
      <c r="U41" s="426"/>
      <c r="V41" s="426"/>
      <c r="W41" s="426"/>
      <c r="X41" s="426"/>
      <c r="Y41" s="428"/>
      <c r="Z41" s="428"/>
      <c r="AA41" s="428"/>
      <c r="AC41" s="426"/>
      <c r="AD41" s="426"/>
      <c r="AE41" s="426"/>
      <c r="AF41" s="428"/>
      <c r="AG41" s="428"/>
      <c r="AH41" s="428"/>
      <c r="AJ41" s="426"/>
      <c r="AK41" s="426"/>
      <c r="AL41" s="426"/>
      <c r="AM41" s="426"/>
      <c r="AN41" s="426"/>
      <c r="AO41" s="426"/>
      <c r="AP41" s="426"/>
      <c r="AQ41" s="426"/>
      <c r="AR41" s="426"/>
      <c r="AS41" s="426"/>
      <c r="AT41" s="426"/>
      <c r="AU41" s="426"/>
      <c r="AV41" s="428"/>
      <c r="AW41" s="428"/>
      <c r="AX41" s="428"/>
      <c r="AZ41" s="426"/>
      <c r="BA41" s="426"/>
      <c r="BB41" s="426"/>
      <c r="BC41" s="426"/>
      <c r="BD41" s="426"/>
      <c r="BE41" s="426"/>
      <c r="BF41" s="426"/>
      <c r="BG41" s="426"/>
      <c r="BH41" s="428"/>
      <c r="BI41" s="428"/>
      <c r="BJ41" s="428"/>
    </row>
    <row r="42" spans="1:62" s="427" customFormat="1" hidden="1" x14ac:dyDescent="0.35">
      <c r="B42" s="426"/>
      <c r="C42" s="426"/>
      <c r="D42" s="428"/>
      <c r="E42" s="426"/>
      <c r="F42" s="426"/>
      <c r="H42" s="426"/>
      <c r="I42" s="426"/>
      <c r="J42" s="426"/>
      <c r="K42" s="426"/>
      <c r="L42" s="426"/>
      <c r="M42" s="426"/>
      <c r="N42" s="426"/>
      <c r="O42" s="426"/>
      <c r="P42" s="428"/>
      <c r="Q42" s="428"/>
      <c r="R42" s="428"/>
      <c r="S42" s="428"/>
      <c r="T42" s="429"/>
      <c r="U42" s="426"/>
      <c r="V42" s="426"/>
      <c r="W42" s="426"/>
      <c r="X42" s="426"/>
      <c r="Y42" s="428"/>
      <c r="Z42" s="428"/>
      <c r="AA42" s="428"/>
      <c r="AC42" s="426"/>
      <c r="AD42" s="426"/>
      <c r="AE42" s="426"/>
      <c r="AF42" s="428"/>
      <c r="AG42" s="428"/>
      <c r="AH42" s="428"/>
      <c r="AJ42" s="426"/>
      <c r="AK42" s="426"/>
      <c r="AL42" s="426"/>
      <c r="AM42" s="426"/>
      <c r="AN42" s="426"/>
      <c r="AO42" s="426"/>
      <c r="AP42" s="426"/>
      <c r="AQ42" s="426"/>
      <c r="AR42" s="426"/>
      <c r="AS42" s="426"/>
      <c r="AT42" s="426"/>
      <c r="AU42" s="426"/>
      <c r="AV42" s="428"/>
      <c r="AW42" s="428"/>
      <c r="AX42" s="428"/>
      <c r="AZ42" s="426"/>
      <c r="BA42" s="426"/>
      <c r="BB42" s="426"/>
      <c r="BC42" s="426"/>
      <c r="BD42" s="426"/>
      <c r="BE42" s="426"/>
      <c r="BF42" s="426"/>
      <c r="BG42" s="426"/>
      <c r="BH42" s="428"/>
      <c r="BI42" s="428"/>
      <c r="BJ42" s="428"/>
    </row>
    <row r="43" spans="1:62" s="427" customFormat="1" hidden="1" x14ac:dyDescent="0.35">
      <c r="B43" s="426"/>
      <c r="C43" s="426"/>
      <c r="D43" s="428"/>
      <c r="E43" s="426"/>
      <c r="F43" s="426"/>
      <c r="H43" s="426"/>
      <c r="I43" s="426"/>
      <c r="J43" s="426"/>
      <c r="K43" s="426"/>
      <c r="L43" s="426"/>
      <c r="M43" s="426"/>
      <c r="N43" s="426"/>
      <c r="O43" s="426"/>
      <c r="P43" s="428"/>
      <c r="Q43" s="428"/>
      <c r="R43" s="428"/>
      <c r="S43" s="428"/>
      <c r="T43" s="429"/>
      <c r="U43" s="426"/>
      <c r="V43" s="426"/>
      <c r="W43" s="426"/>
      <c r="X43" s="426"/>
      <c r="Y43" s="428"/>
      <c r="Z43" s="428"/>
      <c r="AA43" s="428"/>
      <c r="AC43" s="426"/>
      <c r="AD43" s="426"/>
      <c r="AE43" s="426"/>
      <c r="AF43" s="428"/>
      <c r="AG43" s="428"/>
      <c r="AH43" s="428"/>
      <c r="AJ43" s="426"/>
      <c r="AK43" s="426"/>
      <c r="AL43" s="426"/>
      <c r="AM43" s="426"/>
      <c r="AN43" s="426"/>
      <c r="AO43" s="426"/>
      <c r="AP43" s="426"/>
      <c r="AQ43" s="426"/>
      <c r="AR43" s="426"/>
      <c r="AS43" s="426"/>
      <c r="AT43" s="426"/>
      <c r="AU43" s="426"/>
      <c r="AV43" s="428"/>
      <c r="AW43" s="428"/>
      <c r="AX43" s="428"/>
      <c r="AZ43" s="426"/>
      <c r="BA43" s="426"/>
      <c r="BB43" s="426"/>
      <c r="BC43" s="426"/>
      <c r="BD43" s="426"/>
      <c r="BE43" s="426"/>
      <c r="BF43" s="426"/>
      <c r="BG43" s="426"/>
      <c r="BH43" s="428"/>
      <c r="BI43" s="428"/>
      <c r="BJ43" s="428"/>
    </row>
    <row r="44" spans="1:62" s="427" customFormat="1" hidden="1" x14ac:dyDescent="0.35">
      <c r="B44" s="426"/>
      <c r="C44" s="426"/>
      <c r="D44" s="428"/>
      <c r="E44" s="426"/>
      <c r="F44" s="426"/>
      <c r="H44" s="426"/>
      <c r="I44" s="426"/>
      <c r="J44" s="426"/>
      <c r="K44" s="426"/>
      <c r="L44" s="426"/>
      <c r="M44" s="426"/>
      <c r="N44" s="426"/>
      <c r="O44" s="426"/>
      <c r="P44" s="428"/>
      <c r="Q44" s="428"/>
      <c r="R44" s="428"/>
      <c r="S44" s="428"/>
      <c r="T44" s="429"/>
      <c r="U44" s="426"/>
      <c r="V44" s="426"/>
      <c r="W44" s="426"/>
      <c r="X44" s="426"/>
      <c r="Y44" s="428"/>
      <c r="Z44" s="428"/>
      <c r="AA44" s="428"/>
      <c r="AC44" s="426"/>
      <c r="AD44" s="426"/>
      <c r="AE44" s="426"/>
      <c r="AF44" s="428"/>
      <c r="AG44" s="428"/>
      <c r="AH44" s="428"/>
      <c r="AJ44" s="426"/>
      <c r="AK44" s="426"/>
      <c r="AL44" s="426"/>
      <c r="AM44" s="426"/>
      <c r="AN44" s="426"/>
      <c r="AO44" s="426"/>
      <c r="AP44" s="426"/>
      <c r="AQ44" s="426"/>
      <c r="AR44" s="426"/>
      <c r="AS44" s="426"/>
      <c r="AT44" s="426"/>
      <c r="AU44" s="426"/>
      <c r="AV44" s="428"/>
      <c r="AW44" s="428"/>
      <c r="AX44" s="428"/>
      <c r="AZ44" s="426"/>
      <c r="BA44" s="426"/>
      <c r="BB44" s="426"/>
      <c r="BC44" s="426"/>
      <c r="BD44" s="426"/>
      <c r="BE44" s="426"/>
      <c r="BF44" s="426"/>
      <c r="BG44" s="426"/>
      <c r="BH44" s="428"/>
      <c r="BI44" s="428"/>
      <c r="BJ44" s="428"/>
    </row>
    <row r="45" spans="1:62" s="427" customFormat="1" hidden="1" x14ac:dyDescent="0.35">
      <c r="B45" s="426"/>
      <c r="C45" s="426"/>
      <c r="D45" s="428"/>
      <c r="E45" s="426"/>
      <c r="F45" s="426"/>
      <c r="H45" s="426"/>
      <c r="I45" s="426"/>
      <c r="J45" s="426"/>
      <c r="K45" s="426"/>
      <c r="L45" s="426"/>
      <c r="M45" s="426"/>
      <c r="N45" s="426"/>
      <c r="O45" s="426"/>
      <c r="P45" s="428"/>
      <c r="Q45" s="428"/>
      <c r="R45" s="428"/>
      <c r="S45" s="428"/>
      <c r="T45" s="429"/>
      <c r="U45" s="426"/>
      <c r="V45" s="426"/>
      <c r="W45" s="426"/>
      <c r="X45" s="426"/>
      <c r="Y45" s="428"/>
      <c r="Z45" s="428"/>
      <c r="AA45" s="428"/>
      <c r="AC45" s="426"/>
      <c r="AD45" s="426"/>
      <c r="AE45" s="426"/>
      <c r="AF45" s="428"/>
      <c r="AG45" s="428"/>
      <c r="AH45" s="428"/>
      <c r="AJ45" s="426"/>
      <c r="AK45" s="426"/>
      <c r="AL45" s="426"/>
      <c r="AM45" s="426"/>
      <c r="AN45" s="426"/>
      <c r="AO45" s="426"/>
      <c r="AP45" s="426"/>
      <c r="AQ45" s="426"/>
      <c r="AR45" s="426"/>
      <c r="AS45" s="426"/>
      <c r="AT45" s="426"/>
      <c r="AU45" s="426"/>
      <c r="AV45" s="428"/>
      <c r="AW45" s="428"/>
      <c r="AX45" s="428"/>
      <c r="AZ45" s="426"/>
      <c r="BA45" s="426"/>
      <c r="BB45" s="426"/>
      <c r="BC45" s="426"/>
      <c r="BD45" s="426"/>
      <c r="BE45" s="426"/>
      <c r="BF45" s="426"/>
      <c r="BG45" s="426"/>
      <c r="BH45" s="428"/>
      <c r="BI45" s="428"/>
      <c r="BJ45" s="428"/>
    </row>
    <row r="46" spans="1:62" s="427" customFormat="1" hidden="1" x14ac:dyDescent="0.35">
      <c r="B46" s="426"/>
      <c r="C46" s="426"/>
      <c r="D46" s="428"/>
      <c r="E46" s="426"/>
      <c r="F46" s="426"/>
      <c r="H46" s="426"/>
      <c r="I46" s="426"/>
      <c r="J46" s="426"/>
      <c r="K46" s="426"/>
      <c r="L46" s="426"/>
      <c r="M46" s="426"/>
      <c r="N46" s="426"/>
      <c r="O46" s="426"/>
      <c r="P46" s="428"/>
      <c r="Q46" s="428"/>
      <c r="R46" s="428"/>
      <c r="S46" s="428"/>
      <c r="T46" s="429"/>
      <c r="U46" s="426"/>
      <c r="V46" s="426"/>
      <c r="W46" s="426"/>
      <c r="X46" s="426"/>
      <c r="Y46" s="428"/>
      <c r="Z46" s="428"/>
      <c r="AA46" s="428"/>
      <c r="AC46" s="426"/>
      <c r="AD46" s="426"/>
      <c r="AE46" s="426"/>
      <c r="AF46" s="428"/>
      <c r="AG46" s="428"/>
      <c r="AH46" s="428"/>
      <c r="AJ46" s="426"/>
      <c r="AK46" s="426"/>
      <c r="AL46" s="426"/>
      <c r="AM46" s="426"/>
      <c r="AN46" s="426"/>
      <c r="AO46" s="426"/>
      <c r="AP46" s="426"/>
      <c r="AQ46" s="426"/>
      <c r="AR46" s="426"/>
      <c r="AS46" s="426"/>
      <c r="AT46" s="426"/>
      <c r="AU46" s="426"/>
      <c r="AV46" s="428"/>
      <c r="AW46" s="428"/>
      <c r="AX46" s="428"/>
      <c r="AZ46" s="426"/>
      <c r="BA46" s="426"/>
      <c r="BB46" s="426"/>
      <c r="BC46" s="426"/>
      <c r="BD46" s="426"/>
      <c r="BE46" s="426"/>
      <c r="BF46" s="426"/>
      <c r="BG46" s="426"/>
      <c r="BH46" s="428"/>
      <c r="BI46" s="428"/>
      <c r="BJ46" s="428"/>
    </row>
    <row r="47" spans="1:62" s="427" customFormat="1" hidden="1" x14ac:dyDescent="0.35">
      <c r="A47" s="427">
        <v>1</v>
      </c>
      <c r="B47" s="434" t="b">
        <f>AND(8.9&lt;E21,E21&lt;10)</f>
        <v>0</v>
      </c>
      <c r="C47" s="434">
        <f>IF(B47,1,0)</f>
        <v>0</v>
      </c>
      <c r="D47" s="428"/>
      <c r="E47" s="426"/>
      <c r="F47" s="426">
        <f>IF(B28="3.1.1",1,0)</f>
        <v>0</v>
      </c>
      <c r="H47" s="426"/>
      <c r="I47" s="426"/>
      <c r="J47" s="426"/>
      <c r="K47" s="426"/>
      <c r="L47" s="426"/>
      <c r="M47" s="426"/>
      <c r="N47" s="426"/>
      <c r="O47" s="426"/>
      <c r="P47" s="428"/>
      <c r="Q47" s="428"/>
      <c r="R47" s="428"/>
      <c r="S47" s="428"/>
      <c r="T47" s="429"/>
      <c r="U47" s="426"/>
      <c r="V47" s="426"/>
      <c r="W47" s="426"/>
      <c r="X47" s="426"/>
      <c r="Y47" s="428"/>
      <c r="Z47" s="428"/>
      <c r="AA47" s="428"/>
      <c r="AC47" s="426"/>
      <c r="AD47" s="426"/>
      <c r="AE47" s="426"/>
      <c r="AF47" s="428"/>
      <c r="AG47" s="428"/>
      <c r="AH47" s="428"/>
      <c r="AJ47" s="426"/>
      <c r="AK47" s="426"/>
      <c r="AL47" s="426"/>
      <c r="AM47" s="426"/>
      <c r="AN47" s="426"/>
      <c r="AO47" s="426"/>
      <c r="AP47" s="426"/>
      <c r="AQ47" s="426"/>
      <c r="AR47" s="426"/>
      <c r="AS47" s="426"/>
      <c r="AT47" s="426"/>
      <c r="AU47" s="426"/>
      <c r="AV47" s="428"/>
      <c r="AW47" s="428"/>
      <c r="AX47" s="428"/>
      <c r="AZ47" s="426"/>
      <c r="BA47" s="426"/>
      <c r="BB47" s="426"/>
      <c r="BC47" s="426"/>
      <c r="BD47" s="426"/>
      <c r="BE47" s="426"/>
      <c r="BF47" s="426"/>
      <c r="BG47" s="426"/>
      <c r="BH47" s="428"/>
      <c r="BI47" s="428"/>
      <c r="BJ47" s="428"/>
    </row>
    <row r="48" spans="1:62" s="427" customFormat="1" hidden="1" x14ac:dyDescent="0.35">
      <c r="A48" s="427">
        <v>2</v>
      </c>
      <c r="B48" s="434" t="b">
        <f>AND(6.99&lt;E21,E21&lt;9)</f>
        <v>0</v>
      </c>
      <c r="C48" s="434">
        <f>IF(B48,2,0)</f>
        <v>0</v>
      </c>
      <c r="D48" s="428"/>
      <c r="E48" s="426"/>
      <c r="F48" s="426">
        <f>IF(B29="3.1.6",1,0)</f>
        <v>0</v>
      </c>
      <c r="H48" s="426"/>
      <c r="I48" s="426"/>
      <c r="J48" s="426"/>
      <c r="K48" s="426"/>
      <c r="L48" s="426"/>
      <c r="M48" s="426"/>
      <c r="N48" s="426"/>
      <c r="O48" s="426"/>
      <c r="P48" s="428"/>
      <c r="Q48" s="428"/>
      <c r="R48" s="428"/>
      <c r="S48" s="428"/>
      <c r="T48" s="429"/>
      <c r="U48" s="426"/>
      <c r="V48" s="426"/>
      <c r="W48" s="426"/>
      <c r="X48" s="426"/>
      <c r="Y48" s="428"/>
      <c r="Z48" s="428"/>
      <c r="AA48" s="428"/>
      <c r="AC48" s="426"/>
      <c r="AD48" s="426"/>
      <c r="AE48" s="426"/>
      <c r="AF48" s="428"/>
      <c r="AG48" s="428"/>
      <c r="AH48" s="428"/>
      <c r="AJ48" s="426"/>
      <c r="AK48" s="426"/>
      <c r="AL48" s="426"/>
      <c r="AM48" s="426"/>
      <c r="AN48" s="426"/>
      <c r="AO48" s="426"/>
      <c r="AP48" s="426"/>
      <c r="AQ48" s="426"/>
      <c r="AR48" s="426"/>
      <c r="AS48" s="426"/>
      <c r="AT48" s="426"/>
      <c r="AU48" s="426"/>
      <c r="AV48" s="428"/>
      <c r="AW48" s="428"/>
      <c r="AX48" s="428"/>
      <c r="AZ48" s="426"/>
      <c r="BA48" s="426"/>
      <c r="BB48" s="426"/>
      <c r="BC48" s="426"/>
      <c r="BD48" s="426"/>
      <c r="BE48" s="426"/>
      <c r="BF48" s="426"/>
      <c r="BG48" s="426"/>
      <c r="BH48" s="428"/>
      <c r="BI48" s="428"/>
      <c r="BJ48" s="428"/>
    </row>
    <row r="49" spans="1:62" s="427" customFormat="1" hidden="1" x14ac:dyDescent="0.35">
      <c r="A49" s="427">
        <v>3</v>
      </c>
      <c r="B49" s="434" t="b">
        <f>AND(4.99&lt;E21,E21&lt;7)</f>
        <v>0</v>
      </c>
      <c r="C49" s="434">
        <f>IF(B49,3,0)</f>
        <v>0</v>
      </c>
      <c r="D49" s="428"/>
      <c r="E49" s="426"/>
      <c r="F49" s="426">
        <f>IF(B30="3.1.6",1,0)</f>
        <v>0</v>
      </c>
      <c r="H49" s="426"/>
      <c r="I49" s="426"/>
      <c r="J49" s="426"/>
      <c r="K49" s="426"/>
      <c r="L49" s="426"/>
      <c r="M49" s="426"/>
      <c r="N49" s="426"/>
      <c r="O49" s="426"/>
      <c r="P49" s="428"/>
      <c r="Q49" s="428"/>
      <c r="R49" s="428"/>
      <c r="S49" s="428"/>
      <c r="T49" s="429"/>
      <c r="U49" s="426"/>
      <c r="V49" s="426"/>
      <c r="W49" s="426"/>
      <c r="X49" s="426"/>
      <c r="Y49" s="428"/>
      <c r="Z49" s="428"/>
      <c r="AA49" s="428"/>
      <c r="AC49" s="426"/>
      <c r="AD49" s="426"/>
      <c r="AE49" s="426"/>
      <c r="AF49" s="428"/>
      <c r="AG49" s="428"/>
      <c r="AH49" s="428"/>
      <c r="AJ49" s="426"/>
      <c r="AK49" s="426"/>
      <c r="AL49" s="426"/>
      <c r="AM49" s="426"/>
      <c r="AN49" s="426"/>
      <c r="AO49" s="426"/>
      <c r="AP49" s="426"/>
      <c r="AQ49" s="426"/>
      <c r="AR49" s="426"/>
      <c r="AS49" s="426"/>
      <c r="AT49" s="426"/>
      <c r="AU49" s="426"/>
      <c r="AV49" s="428"/>
      <c r="AW49" s="428"/>
      <c r="AX49" s="428"/>
      <c r="AZ49" s="426"/>
      <c r="BA49" s="426"/>
      <c r="BB49" s="426"/>
      <c r="BC49" s="426"/>
      <c r="BD49" s="426"/>
      <c r="BE49" s="426"/>
      <c r="BF49" s="426"/>
      <c r="BG49" s="426"/>
      <c r="BH49" s="428"/>
      <c r="BI49" s="428"/>
      <c r="BJ49" s="428"/>
    </row>
    <row r="50" spans="1:62" s="427" customFormat="1" hidden="1" x14ac:dyDescent="0.35">
      <c r="A50" s="427">
        <v>4</v>
      </c>
      <c r="B50" s="434" t="b">
        <f>AND(-0.01&lt;E21,E21&lt;5)</f>
        <v>1</v>
      </c>
      <c r="C50" s="434">
        <f>IF(B50,4,0)</f>
        <v>4</v>
      </c>
      <c r="D50" s="428"/>
      <c r="E50" s="426"/>
      <c r="F50" s="426">
        <f>IF(B31="3.1.8",1,0)</f>
        <v>0</v>
      </c>
      <c r="H50" s="426"/>
      <c r="I50" s="426"/>
      <c r="J50" s="426"/>
      <c r="K50" s="426"/>
      <c r="L50" s="426"/>
      <c r="M50" s="426"/>
      <c r="N50" s="426"/>
      <c r="O50" s="426"/>
      <c r="P50" s="428"/>
      <c r="Q50" s="428"/>
      <c r="R50" s="428"/>
      <c r="S50" s="428"/>
      <c r="T50" s="429"/>
      <c r="U50" s="426"/>
      <c r="V50" s="426"/>
      <c r="W50" s="426"/>
      <c r="X50" s="426"/>
      <c r="Y50" s="428"/>
      <c r="Z50" s="428"/>
      <c r="AA50" s="428"/>
      <c r="AC50" s="426"/>
      <c r="AD50" s="426"/>
      <c r="AE50" s="426"/>
      <c r="AF50" s="428"/>
      <c r="AG50" s="428"/>
      <c r="AH50" s="428"/>
      <c r="AJ50" s="426"/>
      <c r="AK50" s="426"/>
      <c r="AL50" s="426"/>
      <c r="AM50" s="426"/>
      <c r="AN50" s="426"/>
      <c r="AO50" s="426"/>
      <c r="AP50" s="426"/>
      <c r="AQ50" s="426"/>
      <c r="AR50" s="426"/>
      <c r="AS50" s="426"/>
      <c r="AT50" s="426"/>
      <c r="AU50" s="426"/>
      <c r="AV50" s="428"/>
      <c r="AW50" s="428"/>
      <c r="AX50" s="428"/>
      <c r="AZ50" s="426"/>
      <c r="BA50" s="426"/>
      <c r="BB50" s="426"/>
      <c r="BC50" s="426"/>
      <c r="BD50" s="426"/>
      <c r="BE50" s="426"/>
      <c r="BF50" s="426"/>
      <c r="BG50" s="426"/>
      <c r="BH50" s="428"/>
      <c r="BI50" s="428"/>
      <c r="BJ50" s="428"/>
    </row>
    <row r="51" spans="1:62" s="427" customFormat="1" hidden="1" x14ac:dyDescent="0.35">
      <c r="A51" s="435"/>
      <c r="B51" s="435"/>
      <c r="C51" s="426">
        <f>SUM(C47:C50)</f>
        <v>4</v>
      </c>
      <c r="D51" s="428"/>
      <c r="E51" s="426"/>
      <c r="F51" s="426">
        <f>IF(B32="3.1.9",1,0)</f>
        <v>0</v>
      </c>
      <c r="H51" s="426"/>
      <c r="I51" s="426"/>
      <c r="J51" s="426"/>
      <c r="K51" s="426"/>
      <c r="L51" s="426"/>
      <c r="M51" s="426"/>
      <c r="N51" s="426"/>
      <c r="O51" s="426"/>
      <c r="P51" s="428"/>
      <c r="Q51" s="428"/>
      <c r="R51" s="428"/>
      <c r="S51" s="428"/>
      <c r="T51" s="429"/>
      <c r="U51" s="426"/>
      <c r="V51" s="426"/>
      <c r="W51" s="426"/>
      <c r="X51" s="426"/>
      <c r="Y51" s="428"/>
      <c r="Z51" s="428"/>
      <c r="AA51" s="428"/>
      <c r="AC51" s="426"/>
      <c r="AD51" s="426"/>
      <c r="AE51" s="426"/>
      <c r="AF51" s="428"/>
      <c r="AG51" s="428"/>
      <c r="AH51" s="428"/>
      <c r="AJ51" s="426"/>
      <c r="AK51" s="426"/>
      <c r="AL51" s="426"/>
      <c r="AM51" s="426"/>
      <c r="AN51" s="426"/>
      <c r="AO51" s="426"/>
      <c r="AP51" s="426"/>
      <c r="AQ51" s="426"/>
      <c r="AR51" s="426"/>
      <c r="AS51" s="426"/>
      <c r="AT51" s="426"/>
      <c r="AU51" s="426"/>
      <c r="AV51" s="428"/>
      <c r="AW51" s="428"/>
      <c r="AX51" s="428"/>
      <c r="AZ51" s="426"/>
      <c r="BA51" s="426"/>
      <c r="BB51" s="426"/>
      <c r="BC51" s="426"/>
      <c r="BD51" s="426"/>
      <c r="BE51" s="426"/>
      <c r="BF51" s="426"/>
      <c r="BG51" s="426"/>
      <c r="BH51" s="428"/>
      <c r="BI51" s="428"/>
      <c r="BJ51" s="428"/>
    </row>
    <row r="52" spans="1:62" s="427" customFormat="1" hidden="1" x14ac:dyDescent="0.35">
      <c r="A52" s="435"/>
      <c r="B52" s="435"/>
      <c r="C52" s="426"/>
      <c r="D52" s="428"/>
      <c r="E52" s="426"/>
      <c r="F52" s="426">
        <f>IF(B33="3.1.14",1,0)</f>
        <v>0</v>
      </c>
      <c r="H52" s="426"/>
      <c r="I52" s="426"/>
      <c r="J52" s="426"/>
      <c r="K52" s="426"/>
      <c r="L52" s="426"/>
      <c r="M52" s="426"/>
      <c r="N52" s="426"/>
      <c r="O52" s="426"/>
      <c r="P52" s="428"/>
      <c r="Q52" s="428"/>
      <c r="R52" s="428"/>
      <c r="S52" s="428"/>
      <c r="T52" s="429"/>
      <c r="U52" s="426"/>
      <c r="V52" s="426"/>
      <c r="W52" s="426"/>
      <c r="X52" s="426"/>
      <c r="Y52" s="428"/>
      <c r="Z52" s="428"/>
      <c r="AA52" s="428"/>
      <c r="AC52" s="426"/>
      <c r="AD52" s="426"/>
      <c r="AE52" s="426"/>
      <c r="AF52" s="428"/>
      <c r="AG52" s="428"/>
      <c r="AH52" s="428"/>
      <c r="AJ52" s="426"/>
      <c r="AK52" s="426"/>
      <c r="AL52" s="426"/>
      <c r="AM52" s="426"/>
      <c r="AN52" s="426"/>
      <c r="AO52" s="426"/>
      <c r="AP52" s="426"/>
      <c r="AQ52" s="426"/>
      <c r="AR52" s="426"/>
      <c r="AS52" s="426"/>
      <c r="AT52" s="426"/>
      <c r="AU52" s="426"/>
      <c r="AV52" s="428"/>
      <c r="AW52" s="428"/>
      <c r="AX52" s="428"/>
      <c r="AZ52" s="426"/>
      <c r="BA52" s="426"/>
      <c r="BB52" s="426"/>
      <c r="BC52" s="426"/>
      <c r="BD52" s="426"/>
      <c r="BE52" s="426"/>
      <c r="BF52" s="426"/>
      <c r="BG52" s="426"/>
      <c r="BH52" s="428"/>
      <c r="BI52" s="428"/>
      <c r="BJ52" s="428"/>
    </row>
    <row r="53" spans="1:62" s="427" customFormat="1" hidden="1" x14ac:dyDescent="0.35">
      <c r="A53" s="435"/>
      <c r="B53" s="435"/>
      <c r="C53" s="426"/>
      <c r="D53" s="428"/>
      <c r="E53" s="426"/>
      <c r="F53" s="426">
        <f>SUM(F47:F52)</f>
        <v>0</v>
      </c>
      <c r="H53" s="426"/>
      <c r="I53" s="426"/>
      <c r="J53" s="426"/>
      <c r="K53" s="426"/>
      <c r="L53" s="426"/>
      <c r="M53" s="426"/>
      <c r="N53" s="426"/>
      <c r="O53" s="426"/>
      <c r="P53" s="428"/>
      <c r="Q53" s="428"/>
      <c r="R53" s="428"/>
      <c r="S53" s="428"/>
      <c r="T53" s="429"/>
      <c r="U53" s="426"/>
      <c r="V53" s="426"/>
      <c r="W53" s="426"/>
      <c r="X53" s="426"/>
      <c r="Y53" s="428"/>
      <c r="Z53" s="428"/>
      <c r="AA53" s="428"/>
      <c r="AC53" s="426"/>
      <c r="AD53" s="426"/>
      <c r="AE53" s="426"/>
      <c r="AF53" s="428"/>
      <c r="AG53" s="428"/>
      <c r="AH53" s="428"/>
      <c r="AJ53" s="426"/>
      <c r="AK53" s="426"/>
      <c r="AL53" s="426"/>
      <c r="AM53" s="426"/>
      <c r="AN53" s="426"/>
      <c r="AO53" s="426"/>
      <c r="AP53" s="426"/>
      <c r="AQ53" s="426"/>
      <c r="AR53" s="426"/>
      <c r="AS53" s="426"/>
      <c r="AT53" s="426"/>
      <c r="AU53" s="426"/>
      <c r="AV53" s="428"/>
      <c r="AW53" s="428"/>
      <c r="AX53" s="428"/>
      <c r="AZ53" s="426"/>
      <c r="BA53" s="426"/>
      <c r="BB53" s="426"/>
      <c r="BC53" s="426"/>
      <c r="BD53" s="426"/>
      <c r="BE53" s="426"/>
      <c r="BF53" s="426"/>
      <c r="BG53" s="426"/>
      <c r="BH53" s="428"/>
      <c r="BI53" s="428"/>
      <c r="BJ53" s="428"/>
    </row>
    <row r="54" spans="1:62" s="427" customFormat="1" hidden="1" x14ac:dyDescent="0.35">
      <c r="A54" s="435"/>
      <c r="B54" s="435"/>
      <c r="C54" s="426"/>
      <c r="D54" s="428"/>
      <c r="E54" s="426"/>
      <c r="F54" s="426"/>
      <c r="H54" s="426"/>
      <c r="I54" s="426"/>
      <c r="J54" s="426"/>
      <c r="K54" s="426"/>
      <c r="L54" s="426"/>
      <c r="M54" s="426"/>
      <c r="N54" s="426"/>
      <c r="O54" s="426"/>
      <c r="P54" s="428"/>
      <c r="Q54" s="428"/>
      <c r="R54" s="428"/>
      <c r="S54" s="428"/>
      <c r="T54" s="429"/>
      <c r="U54" s="426"/>
      <c r="V54" s="426"/>
      <c r="W54" s="426"/>
      <c r="X54" s="426"/>
      <c r="Y54" s="428"/>
      <c r="Z54" s="428"/>
      <c r="AA54" s="428"/>
      <c r="AC54" s="426"/>
      <c r="AD54" s="426"/>
      <c r="AE54" s="426"/>
      <c r="AF54" s="428"/>
      <c r="AG54" s="428"/>
      <c r="AH54" s="428"/>
      <c r="AJ54" s="426"/>
      <c r="AK54" s="426"/>
      <c r="AL54" s="426"/>
      <c r="AM54" s="426"/>
      <c r="AN54" s="426"/>
      <c r="AO54" s="426"/>
      <c r="AP54" s="426"/>
      <c r="AQ54" s="426"/>
      <c r="AR54" s="426"/>
      <c r="AS54" s="426"/>
      <c r="AT54" s="426"/>
      <c r="AU54" s="426"/>
      <c r="AV54" s="428"/>
      <c r="AW54" s="428"/>
      <c r="AX54" s="428"/>
      <c r="AZ54" s="426"/>
      <c r="BA54" s="426"/>
      <c r="BB54" s="426"/>
      <c r="BC54" s="426"/>
      <c r="BD54" s="426"/>
      <c r="BE54" s="426"/>
      <c r="BF54" s="426"/>
      <c r="BG54" s="426"/>
      <c r="BH54" s="428"/>
      <c r="BI54" s="428"/>
      <c r="BJ54" s="428"/>
    </row>
    <row r="55" spans="1:62" s="427" customFormat="1" hidden="1" x14ac:dyDescent="0.35">
      <c r="B55" s="426"/>
      <c r="C55" s="426"/>
      <c r="D55" s="428"/>
      <c r="E55" s="426"/>
      <c r="F55" s="426"/>
      <c r="H55" s="426"/>
      <c r="I55" s="426"/>
      <c r="J55" s="426"/>
      <c r="K55" s="426"/>
      <c r="L55" s="426"/>
      <c r="M55" s="426"/>
      <c r="N55" s="426"/>
      <c r="O55" s="426"/>
      <c r="P55" s="428"/>
      <c r="Q55" s="428"/>
      <c r="R55" s="428"/>
      <c r="S55" s="428"/>
      <c r="T55" s="429"/>
      <c r="U55" s="426"/>
      <c r="V55" s="426"/>
      <c r="W55" s="426"/>
      <c r="X55" s="426"/>
      <c r="Y55" s="428"/>
      <c r="Z55" s="428"/>
      <c r="AA55" s="428"/>
      <c r="AC55" s="426"/>
      <c r="AD55" s="426"/>
      <c r="AE55" s="426"/>
      <c r="AF55" s="428"/>
      <c r="AG55" s="428"/>
      <c r="AH55" s="428"/>
      <c r="AJ55" s="426"/>
      <c r="AK55" s="426"/>
      <c r="AL55" s="426"/>
      <c r="AM55" s="426"/>
      <c r="AN55" s="426"/>
      <c r="AO55" s="426"/>
      <c r="AP55" s="426"/>
      <c r="AQ55" s="426"/>
      <c r="AR55" s="426"/>
      <c r="AS55" s="426"/>
      <c r="AT55" s="426"/>
      <c r="AU55" s="426"/>
      <c r="AV55" s="428"/>
      <c r="AW55" s="428"/>
      <c r="AX55" s="428"/>
      <c r="AZ55" s="426"/>
      <c r="BA55" s="426"/>
      <c r="BB55" s="426"/>
      <c r="BC55" s="426"/>
      <c r="BD55" s="426"/>
      <c r="BE55" s="426"/>
      <c r="BF55" s="426"/>
      <c r="BG55" s="426"/>
      <c r="BH55" s="428"/>
      <c r="BI55" s="428"/>
      <c r="BJ55" s="428"/>
    </row>
    <row r="56" spans="1:62" s="427" customFormat="1" hidden="1" x14ac:dyDescent="0.35">
      <c r="B56" s="426"/>
      <c r="C56" s="426"/>
      <c r="D56" s="428"/>
      <c r="E56" s="426"/>
      <c r="F56" s="426"/>
      <c r="H56" s="426"/>
      <c r="I56" s="426"/>
      <c r="J56" s="426"/>
      <c r="K56" s="426"/>
      <c r="L56" s="426"/>
      <c r="M56" s="426"/>
      <c r="N56" s="426"/>
      <c r="O56" s="426"/>
      <c r="P56" s="428"/>
      <c r="Q56" s="428"/>
      <c r="R56" s="428"/>
      <c r="S56" s="428"/>
      <c r="T56" s="429"/>
      <c r="U56" s="426"/>
      <c r="V56" s="426"/>
      <c r="W56" s="426"/>
      <c r="X56" s="426"/>
      <c r="Y56" s="428"/>
      <c r="Z56" s="428"/>
      <c r="AA56" s="428"/>
      <c r="AC56" s="426"/>
      <c r="AD56" s="426"/>
      <c r="AE56" s="426"/>
      <c r="AF56" s="428"/>
      <c r="AG56" s="428"/>
      <c r="AH56" s="428"/>
      <c r="AJ56" s="426"/>
      <c r="AK56" s="426"/>
      <c r="AL56" s="426"/>
      <c r="AM56" s="426"/>
      <c r="AN56" s="426"/>
      <c r="AO56" s="426"/>
      <c r="AP56" s="426"/>
      <c r="AQ56" s="426"/>
      <c r="AR56" s="426"/>
      <c r="AS56" s="426"/>
      <c r="AT56" s="426"/>
      <c r="AU56" s="426"/>
      <c r="AV56" s="428"/>
      <c r="AW56" s="428"/>
      <c r="AX56" s="428"/>
      <c r="AZ56" s="426"/>
      <c r="BA56" s="426"/>
      <c r="BB56" s="426"/>
      <c r="BC56" s="426"/>
      <c r="BD56" s="426"/>
      <c r="BE56" s="426"/>
      <c r="BF56" s="426"/>
      <c r="BG56" s="426"/>
      <c r="BH56" s="428"/>
      <c r="BI56" s="428"/>
      <c r="BJ56" s="428"/>
    </row>
    <row r="57" spans="1:62" s="427" customFormat="1" hidden="1" x14ac:dyDescent="0.35">
      <c r="B57" s="426"/>
      <c r="C57" s="426"/>
      <c r="D57" s="428"/>
      <c r="E57" s="426"/>
      <c r="F57" s="426"/>
      <c r="H57" s="426"/>
      <c r="I57" s="426"/>
      <c r="J57" s="426"/>
      <c r="K57" s="426"/>
      <c r="L57" s="426"/>
      <c r="M57" s="426"/>
      <c r="N57" s="426"/>
      <c r="O57" s="426"/>
      <c r="P57" s="428"/>
      <c r="Q57" s="428"/>
      <c r="R57" s="428"/>
      <c r="S57" s="428"/>
      <c r="T57" s="429"/>
      <c r="U57" s="426"/>
      <c r="V57" s="426"/>
      <c r="W57" s="426"/>
      <c r="X57" s="426"/>
      <c r="Y57" s="428"/>
      <c r="Z57" s="428"/>
      <c r="AA57" s="428"/>
      <c r="AC57" s="426"/>
      <c r="AD57" s="426"/>
      <c r="AE57" s="426"/>
      <c r="AF57" s="428"/>
      <c r="AG57" s="428"/>
      <c r="AH57" s="428"/>
      <c r="AJ57" s="426"/>
      <c r="AK57" s="426"/>
      <c r="AL57" s="426"/>
      <c r="AM57" s="426"/>
      <c r="AN57" s="426"/>
      <c r="AO57" s="426"/>
      <c r="AP57" s="426"/>
      <c r="AQ57" s="426"/>
      <c r="AR57" s="426"/>
      <c r="AS57" s="426"/>
      <c r="AT57" s="426"/>
      <c r="AU57" s="426"/>
      <c r="AV57" s="428"/>
      <c r="AW57" s="428"/>
      <c r="AX57" s="428"/>
      <c r="AZ57" s="426"/>
      <c r="BA57" s="426"/>
      <c r="BB57" s="426"/>
      <c r="BC57" s="426"/>
      <c r="BD57" s="426"/>
      <c r="BE57" s="426"/>
      <c r="BF57" s="426"/>
      <c r="BG57" s="426"/>
      <c r="BH57" s="428"/>
      <c r="BI57" s="428"/>
      <c r="BJ57" s="428"/>
    </row>
    <row r="58" spans="1:62" s="427" customFormat="1" hidden="1" x14ac:dyDescent="0.35">
      <c r="B58" s="426"/>
      <c r="C58" s="426"/>
      <c r="D58" s="428"/>
      <c r="E58" s="426"/>
      <c r="F58" s="426"/>
      <c r="H58" s="426"/>
      <c r="I58" s="426"/>
      <c r="J58" s="426"/>
      <c r="K58" s="426"/>
      <c r="L58" s="426"/>
      <c r="M58" s="426"/>
      <c r="N58" s="426"/>
      <c r="O58" s="426"/>
      <c r="P58" s="428"/>
      <c r="Q58" s="428"/>
      <c r="R58" s="428"/>
      <c r="S58" s="428"/>
      <c r="T58" s="429"/>
      <c r="U58" s="426"/>
      <c r="V58" s="426"/>
      <c r="W58" s="426"/>
      <c r="X58" s="426"/>
      <c r="Y58" s="428"/>
      <c r="Z58" s="428"/>
      <c r="AA58" s="428"/>
      <c r="AC58" s="426"/>
      <c r="AD58" s="426"/>
      <c r="AE58" s="426"/>
      <c r="AF58" s="428"/>
      <c r="AG58" s="428"/>
      <c r="AH58" s="428"/>
      <c r="AJ58" s="426"/>
      <c r="AK58" s="426"/>
      <c r="AL58" s="426"/>
      <c r="AM58" s="426"/>
      <c r="AN58" s="426"/>
      <c r="AO58" s="426"/>
      <c r="AP58" s="426"/>
      <c r="AQ58" s="426"/>
      <c r="AR58" s="426"/>
      <c r="AS58" s="426"/>
      <c r="AT58" s="426"/>
      <c r="AU58" s="426"/>
      <c r="AV58" s="428"/>
      <c r="AW58" s="428"/>
      <c r="AX58" s="428"/>
      <c r="AZ58" s="426"/>
      <c r="BA58" s="426"/>
      <c r="BB58" s="426"/>
      <c r="BC58" s="426"/>
      <c r="BD58" s="426"/>
      <c r="BE58" s="426"/>
      <c r="BF58" s="426"/>
      <c r="BG58" s="426"/>
      <c r="BH58" s="428"/>
      <c r="BI58" s="428"/>
      <c r="BJ58" s="428"/>
    </row>
    <row r="59" spans="1:62" s="427" customFormat="1" hidden="1" x14ac:dyDescent="0.35">
      <c r="B59" s="426"/>
      <c r="C59" s="426"/>
      <c r="D59" s="428"/>
      <c r="E59" s="426"/>
      <c r="F59" s="426"/>
      <c r="H59" s="426"/>
      <c r="I59" s="426"/>
      <c r="J59" s="426"/>
      <c r="K59" s="426"/>
      <c r="L59" s="426"/>
      <c r="M59" s="426"/>
      <c r="N59" s="426"/>
      <c r="O59" s="426"/>
      <c r="P59" s="428"/>
      <c r="Q59" s="428"/>
      <c r="R59" s="428"/>
      <c r="S59" s="428"/>
      <c r="T59" s="429"/>
      <c r="U59" s="426"/>
      <c r="V59" s="426"/>
      <c r="W59" s="426"/>
      <c r="X59" s="426"/>
      <c r="Y59" s="428"/>
      <c r="Z59" s="428"/>
      <c r="AA59" s="428"/>
      <c r="AC59" s="426"/>
      <c r="AD59" s="426"/>
      <c r="AE59" s="426"/>
      <c r="AF59" s="428"/>
      <c r="AG59" s="428"/>
      <c r="AH59" s="428"/>
      <c r="AJ59" s="426"/>
      <c r="AK59" s="426"/>
      <c r="AL59" s="428">
        <v>3.1</v>
      </c>
      <c r="AM59" s="428">
        <v>3.2</v>
      </c>
      <c r="AN59" s="426"/>
      <c r="AO59" s="426"/>
      <c r="AP59" s="426"/>
      <c r="AQ59" s="426"/>
      <c r="AR59" s="426"/>
      <c r="AS59" s="426"/>
      <c r="AT59" s="426"/>
      <c r="AU59" s="426"/>
      <c r="AX59" s="428"/>
      <c r="AY59" s="428"/>
      <c r="AZ59" s="428"/>
      <c r="BA59" s="428"/>
      <c r="BB59" s="428"/>
      <c r="BC59" s="428"/>
      <c r="BD59" s="428"/>
      <c r="BE59" s="428"/>
      <c r="BF59" s="428"/>
      <c r="BG59" s="428"/>
      <c r="BH59" s="428"/>
      <c r="BI59" s="428"/>
      <c r="BJ59" s="428"/>
    </row>
    <row r="60" spans="1:62" s="435" customFormat="1" hidden="1" x14ac:dyDescent="0.35">
      <c r="A60" s="435">
        <v>10</v>
      </c>
      <c r="B60" s="435" t="b">
        <f>AND(10&lt;B5,B5&lt;10)</f>
        <v>0</v>
      </c>
      <c r="C60" s="435" t="b">
        <f>IF(C5=1000,TRUE, FALSE)</f>
        <v>0</v>
      </c>
      <c r="D60" s="435">
        <f>IF(B60,10,0)</f>
        <v>0</v>
      </c>
      <c r="E60" s="435">
        <f>IF(C60,10,0)</f>
        <v>0</v>
      </c>
      <c r="F60" s="512"/>
      <c r="H60" s="512"/>
      <c r="I60" s="512"/>
      <c r="J60" s="512"/>
      <c r="K60" s="435" t="b">
        <f>IF(K5=1000,TRUE, FALSE)</f>
        <v>0</v>
      </c>
      <c r="L60" s="435" t="b">
        <f>IF(L5=1000,TRUE, FALSE)</f>
        <v>0</v>
      </c>
      <c r="M60" s="435" t="b">
        <f>IF(M5=1000,TRUE, FALSE)</f>
        <v>0</v>
      </c>
      <c r="N60" s="435" t="b">
        <f>IF(N5=1000,TRUE, FALSE)</f>
        <v>0</v>
      </c>
      <c r="O60" s="435" t="b">
        <f>IF(O5=100%,TRUE, FALSE)</f>
        <v>0</v>
      </c>
      <c r="P60" s="435">
        <f>IF(K60,10,0)</f>
        <v>0</v>
      </c>
      <c r="Q60" s="435">
        <f>IF(L60,10,0)</f>
        <v>0</v>
      </c>
      <c r="R60" s="435">
        <f>IF(M60,10,0)</f>
        <v>0</v>
      </c>
      <c r="S60" s="435">
        <f>IF(N60,10,0)</f>
        <v>0</v>
      </c>
      <c r="T60" s="435">
        <f>IF(O60,10,0)</f>
        <v>0</v>
      </c>
      <c r="U60" s="435" t="b">
        <f>IF(U5=100%,TRUE, FALSE)</f>
        <v>0</v>
      </c>
      <c r="V60" s="435" t="b">
        <f>IF(V5=100%,TRUE, FALSE)</f>
        <v>0</v>
      </c>
      <c r="W60" s="435" t="b">
        <f>IF(W5=100%,TRUE, FALSE)</f>
        <v>0</v>
      </c>
      <c r="X60" s="435" t="b">
        <f>IF(X5=100%,TRUE, FALSE)</f>
        <v>0</v>
      </c>
      <c r="Y60" s="435">
        <f>IF(U60,10,0)</f>
        <v>0</v>
      </c>
      <c r="Z60" s="435">
        <f>IF(V60,10,0)</f>
        <v>0</v>
      </c>
      <c r="AA60" s="435">
        <f>IF(W60,10,0)</f>
        <v>0</v>
      </c>
      <c r="AC60" s="512"/>
      <c r="AD60" s="435" t="b">
        <f>IF(AC5=100%,TRUE, FALSE)</f>
        <v>0</v>
      </c>
      <c r="AE60" s="435" t="b">
        <f>IF(AD5=100%,TRUE, FALSE)</f>
        <v>0</v>
      </c>
      <c r="AF60" s="435">
        <f>IF(AD60,10,0)</f>
        <v>0</v>
      </c>
      <c r="AG60" s="435">
        <f>IF(AE60,10,0)</f>
        <v>0</v>
      </c>
      <c r="AH60" s="435" t="e">
        <f>IF(#REF!,10,0)</f>
        <v>#REF!</v>
      </c>
      <c r="AI60" s="435" t="e">
        <f>IF(#REF!,10,0)</f>
        <v>#REF!</v>
      </c>
      <c r="AJ60" s="435" t="b">
        <f>IF(AJ5=100%,TRUE, FALSE)</f>
        <v>0</v>
      </c>
      <c r="AK60" s="435" t="b">
        <f>IF(AK5=100%,TRUE, FALSE)</f>
        <v>0</v>
      </c>
      <c r="AL60" s="435">
        <f>IF(AJ60,10,0)</f>
        <v>0</v>
      </c>
      <c r="AM60" s="435">
        <f>IF(AL5=100%,10,0)</f>
        <v>0</v>
      </c>
      <c r="AQ60" s="435" t="b">
        <f>IF(AQ5=100%,TRUE, FALSE)</f>
        <v>0</v>
      </c>
      <c r="AR60" s="435" t="b">
        <f>IF(AR5=100%,TRUE, FALSE)</f>
        <v>0</v>
      </c>
      <c r="AS60" s="435">
        <f>IF(AQ60,10,0)</f>
        <v>0</v>
      </c>
      <c r="AT60" s="435">
        <f>IF(AR60,10,0)</f>
        <v>0</v>
      </c>
    </row>
    <row r="61" spans="1:62" s="435" customFormat="1" hidden="1" x14ac:dyDescent="0.35">
      <c r="A61" s="435">
        <v>9</v>
      </c>
      <c r="B61" s="435" t="b">
        <f>AND(8.99&lt;B5,B5&lt;1000)</f>
        <v>0</v>
      </c>
      <c r="C61" s="435" t="b">
        <f>AND(899&lt;C5,C5&lt;1000)</f>
        <v>0</v>
      </c>
      <c r="D61" s="435">
        <f>IF(B61,9,0)</f>
        <v>0</v>
      </c>
      <c r="E61" s="435">
        <f>IF(C61,9,0)</f>
        <v>0</v>
      </c>
      <c r="K61" s="435" t="b">
        <f>AND(899&lt;K5,K5&lt;1000)</f>
        <v>0</v>
      </c>
      <c r="L61" s="435" t="b">
        <f>AND(899&lt;L5,L5&lt;1000)</f>
        <v>0</v>
      </c>
      <c r="M61" s="435" t="b">
        <f>AND(899&lt;M5,M5&lt;1000)</f>
        <v>0</v>
      </c>
      <c r="N61" s="435" t="b">
        <f>AND(899&lt;N5,N5&lt;1000)</f>
        <v>0</v>
      </c>
      <c r="O61" s="435" t="b">
        <f>AND(90%&lt;O5,O5&lt;100%)</f>
        <v>0</v>
      </c>
      <c r="P61" s="435">
        <f>IF(K61,9,0)</f>
        <v>0</v>
      </c>
      <c r="Q61" s="435">
        <f>IF(L61,9,0)</f>
        <v>0</v>
      </c>
      <c r="R61" s="435">
        <f>IF(M61,9,0)</f>
        <v>0</v>
      </c>
      <c r="S61" s="435">
        <f>IF(N61,9,0)</f>
        <v>0</v>
      </c>
      <c r="T61" s="435">
        <f>IF(O61,9,0)</f>
        <v>0</v>
      </c>
      <c r="U61" s="435" t="b">
        <f>AND(94.99%&lt;U5,U5&lt;100%)</f>
        <v>0</v>
      </c>
      <c r="V61" s="435" t="b">
        <f>AND(94.99%&lt;V5,V5&lt;100%)</f>
        <v>0</v>
      </c>
      <c r="W61" s="435" t="b">
        <f>AND(94.99%&lt;W5,W5&lt;100%)</f>
        <v>0</v>
      </c>
      <c r="X61" s="435" t="b">
        <f>AND(94.99%&lt;X5,X5&lt;100%)</f>
        <v>0</v>
      </c>
      <c r="Y61" s="435">
        <f>IF(U61,9,0)</f>
        <v>0</v>
      </c>
      <c r="Z61" s="435">
        <f>IF(V61,9,0)</f>
        <v>0</v>
      </c>
      <c r="AA61" s="435">
        <f>IF(W61,9,0)</f>
        <v>0</v>
      </c>
      <c r="AD61" s="435" t="b">
        <f>AND(89.9%&lt;AC5,AC5&lt;100%)</f>
        <v>0</v>
      </c>
      <c r="AE61" s="435" t="b">
        <f>AND(89.9%&lt;AD5,AD5&lt;100%)</f>
        <v>0</v>
      </c>
      <c r="AF61" s="435">
        <f>IF(AD61,9,0)</f>
        <v>0</v>
      </c>
      <c r="AG61" s="435">
        <f>IF(AE61,9,0)</f>
        <v>0</v>
      </c>
      <c r="AH61" s="435" t="e">
        <f>IF(#REF!,9,0)</f>
        <v>#REF!</v>
      </c>
      <c r="AI61" s="435" t="e">
        <f>IF(#REF!,9,0)</f>
        <v>#REF!</v>
      </c>
      <c r="AJ61" s="435" t="b">
        <f>AND(94.99%&lt;AJ5,AJ5&lt;100%)</f>
        <v>0</v>
      </c>
      <c r="AK61" s="435" t="b">
        <f>AND(94.99%&lt;AK5,AK5&lt;100%)</f>
        <v>0</v>
      </c>
      <c r="AL61" s="435">
        <f>IF(AJ61,9,0)</f>
        <v>0</v>
      </c>
      <c r="AM61" s="435">
        <f>IF(AK61,9,0)</f>
        <v>0</v>
      </c>
      <c r="AQ61" s="435" t="b">
        <f>AND(89.9%&lt;AQ5,AQ5&lt;100%)</f>
        <v>0</v>
      </c>
      <c r="AR61" s="435" t="b">
        <f>AND(89.9%&lt;AR5,AR5&lt;100%)</f>
        <v>0</v>
      </c>
      <c r="AS61" s="435">
        <f>IF(AQ61,9,0)</f>
        <v>0</v>
      </c>
      <c r="AT61" s="435">
        <f>IF(AR61,9,0)</f>
        <v>0</v>
      </c>
    </row>
    <row r="62" spans="1:62" s="435" customFormat="1" hidden="1" x14ac:dyDescent="0.35">
      <c r="A62" s="435">
        <v>8</v>
      </c>
      <c r="B62" s="435" t="b">
        <f>AND(7.99&lt;B5,B5&lt;9)</f>
        <v>0</v>
      </c>
      <c r="C62" s="435" t="b">
        <f>AND(799&lt;C5,C5&lt;900)</f>
        <v>0</v>
      </c>
      <c r="D62" s="435">
        <f>IF(B62,8,0)</f>
        <v>0</v>
      </c>
      <c r="E62" s="435">
        <f>IF(C62,8,0)</f>
        <v>0</v>
      </c>
      <c r="J62" s="512"/>
      <c r="K62" s="435" t="b">
        <f>AND(799&lt;K5,K5&lt;900)</f>
        <v>0</v>
      </c>
      <c r="L62" s="435" t="b">
        <f>AND(799&lt;L5,L5&lt;900)</f>
        <v>0</v>
      </c>
      <c r="M62" s="435" t="b">
        <f>AND(799&lt;M5,M5&lt;900)</f>
        <v>0</v>
      </c>
      <c r="N62" s="435" t="b">
        <f>AND(799&lt;N5,N5&lt;900)</f>
        <v>0</v>
      </c>
      <c r="O62" s="435" t="b">
        <f>AND(80%&lt;O5,O5&lt;89.9%)</f>
        <v>0</v>
      </c>
      <c r="P62" s="435">
        <f>IF(K62,8,0)</f>
        <v>0</v>
      </c>
      <c r="Q62" s="435">
        <f>IF(L62,8,0)</f>
        <v>0</v>
      </c>
      <c r="R62" s="435">
        <f>IF(M62,8,0)</f>
        <v>0</v>
      </c>
      <c r="S62" s="435">
        <f>IF(N62,8,0)</f>
        <v>0</v>
      </c>
      <c r="T62" s="435">
        <f>IF(O62,8,0)</f>
        <v>0</v>
      </c>
      <c r="U62" s="435" t="b">
        <f>AND(89.99%&lt;U5,U5&lt;95%)</f>
        <v>0</v>
      </c>
      <c r="V62" s="435" t="b">
        <f>AND(89.99%&lt;V5,V5&lt;95%)</f>
        <v>0</v>
      </c>
      <c r="W62" s="435" t="b">
        <f>AND(89.99%&lt;W5,W5&lt;95%)</f>
        <v>0</v>
      </c>
      <c r="X62" s="435" t="b">
        <f>AND(89.99%&lt;X5,X5&lt;95%)</f>
        <v>0</v>
      </c>
      <c r="Y62" s="435">
        <f>IF(U62,8,0)</f>
        <v>0</v>
      </c>
      <c r="Z62" s="435">
        <f>IF(V62,8,0)</f>
        <v>0</v>
      </c>
      <c r="AA62" s="435">
        <f>IF(W62,8,0)</f>
        <v>0</v>
      </c>
      <c r="AC62" s="512"/>
      <c r="AD62" s="435" t="b">
        <f>AND(79.9%&lt;AC5,AC5&lt;89.9%)</f>
        <v>0</v>
      </c>
      <c r="AE62" s="435" t="b">
        <f>AND(79.9%&lt;AD5,AD5&lt;89.9%)</f>
        <v>0</v>
      </c>
      <c r="AF62" s="435">
        <f>IF(AD62,8,0)</f>
        <v>0</v>
      </c>
      <c r="AG62" s="435">
        <f>IF(AE62,8,0)</f>
        <v>0</v>
      </c>
      <c r="AH62" s="435" t="e">
        <f>IF(#REF!,8,0)</f>
        <v>#REF!</v>
      </c>
      <c r="AI62" s="435" t="e">
        <f>IF(#REF!,8,0)</f>
        <v>#REF!</v>
      </c>
      <c r="AJ62" s="435" t="b">
        <f>AND(89.99%&lt;AJ5,AJ5&lt;95%)</f>
        <v>0</v>
      </c>
      <c r="AK62" s="435" t="b">
        <f>AND(89.99%&lt;AK5,AK5&lt;95%)</f>
        <v>0</v>
      </c>
      <c r="AL62" s="435">
        <f>IF(AJ62,8,0)</f>
        <v>0</v>
      </c>
      <c r="AM62" s="435">
        <f>IF(AK62,8,0)</f>
        <v>0</v>
      </c>
      <c r="AQ62" s="435" t="b">
        <f>AND(79.9%&lt;AQ5,AQ5&lt;89.9%)</f>
        <v>0</v>
      </c>
      <c r="AR62" s="435" t="b">
        <f>AND(79.9%&lt;AR5,AR5&lt;89.9%)</f>
        <v>0</v>
      </c>
      <c r="AS62" s="435">
        <f>IF(AQ62,8,0)</f>
        <v>0</v>
      </c>
      <c r="AT62" s="435">
        <f>IF(AR62,8,0)</f>
        <v>0</v>
      </c>
    </row>
    <row r="63" spans="1:62" s="435" customFormat="1" hidden="1" x14ac:dyDescent="0.35">
      <c r="A63" s="435">
        <v>7</v>
      </c>
      <c r="B63" s="435" t="b">
        <f>AND(6.99&lt;B5,B5&lt;8)</f>
        <v>0</v>
      </c>
      <c r="C63" s="435" t="b">
        <f>AND(699&lt;C5,C5&lt;800)</f>
        <v>0</v>
      </c>
      <c r="D63" s="435">
        <f>IF(B63,7,0)</f>
        <v>0</v>
      </c>
      <c r="E63" s="435">
        <f>IF(C63,7,0)</f>
        <v>0</v>
      </c>
      <c r="K63" s="435" t="b">
        <f>AND(699&lt;K5,K5&lt;800)</f>
        <v>0</v>
      </c>
      <c r="L63" s="435" t="b">
        <f>AND(699&lt;L5,L5&lt;800)</f>
        <v>0</v>
      </c>
      <c r="M63" s="435" t="b">
        <f>AND(699&lt;M5,M5&lt;800)</f>
        <v>0</v>
      </c>
      <c r="N63" s="435" t="b">
        <f>AND(699&lt;N5,N5&lt;800)</f>
        <v>0</v>
      </c>
      <c r="O63" s="435" t="b">
        <f>AND(70%&lt;O5,O5&lt;79.9%)</f>
        <v>0</v>
      </c>
      <c r="P63" s="435">
        <f>IF(K63,7,0)</f>
        <v>0</v>
      </c>
      <c r="Q63" s="435">
        <f>IF(L63,7,0)</f>
        <v>0</v>
      </c>
      <c r="R63" s="435">
        <f>IF(M63,7,0)</f>
        <v>0</v>
      </c>
      <c r="S63" s="435">
        <f>IF(N63,7,0)</f>
        <v>0</v>
      </c>
      <c r="T63" s="435">
        <f>IF(O63,7,0)</f>
        <v>0</v>
      </c>
      <c r="U63" s="435" t="b">
        <f>AND(84.99%&lt;U5,U5&lt;90%)</f>
        <v>0</v>
      </c>
      <c r="V63" s="435" t="b">
        <f>AND(84.99%&lt;V5,V5&lt;90%)</f>
        <v>0</v>
      </c>
      <c r="W63" s="435" t="b">
        <f>AND(84.99%&lt;W5,W5&lt;90%)</f>
        <v>0</v>
      </c>
      <c r="X63" s="435" t="b">
        <f>AND(84.99%&lt;X5,X5&lt;90%)</f>
        <v>0</v>
      </c>
      <c r="Y63" s="435">
        <f>IF(U63,7,0)</f>
        <v>0</v>
      </c>
      <c r="Z63" s="435">
        <f>IF(V63,7,0)</f>
        <v>0</v>
      </c>
      <c r="AA63" s="435">
        <f>IF(W63,7,0)</f>
        <v>0</v>
      </c>
      <c r="AD63" s="435" t="b">
        <f>AND(69.9%&lt;AC5,AC5&lt;79.9%)</f>
        <v>0</v>
      </c>
      <c r="AE63" s="435" t="b">
        <f>AND(69.9%&lt;AD5,AD5&lt;79.9%)</f>
        <v>0</v>
      </c>
      <c r="AF63" s="435">
        <f>IF(AD63,7,0)</f>
        <v>0</v>
      </c>
      <c r="AG63" s="435">
        <f>IF(AE63,7,0)</f>
        <v>0</v>
      </c>
      <c r="AH63" s="435" t="e">
        <f>IF(#REF!,7,0)</f>
        <v>#REF!</v>
      </c>
      <c r="AI63" s="435" t="e">
        <f>IF(#REF!,7,0)</f>
        <v>#REF!</v>
      </c>
      <c r="AJ63" s="435" t="b">
        <f>AND(84.99%&lt;AJ5,AJ5&lt;90%)</f>
        <v>0</v>
      </c>
      <c r="AK63" s="435" t="b">
        <f>AND(84.99%&lt;AK5,AK5&lt;90%)</f>
        <v>0</v>
      </c>
      <c r="AL63" s="435">
        <f>IF(AJ63,7,0)</f>
        <v>0</v>
      </c>
      <c r="AM63" s="435">
        <f>IF(AK63,7,0)</f>
        <v>0</v>
      </c>
      <c r="AQ63" s="435" t="b">
        <f>AND(69.9%&lt;AQ5,AQ5&lt;79.9%)</f>
        <v>0</v>
      </c>
      <c r="AR63" s="435" t="b">
        <f>AND(69.9%&lt;AR5,AR5&lt;79.9%)</f>
        <v>0</v>
      </c>
      <c r="AS63" s="435">
        <f>IF(AQ63,7,0)</f>
        <v>0</v>
      </c>
      <c r="AT63" s="435">
        <f>IF(AR63,7,0)</f>
        <v>0</v>
      </c>
    </row>
    <row r="64" spans="1:62" s="435" customFormat="1" hidden="1" x14ac:dyDescent="0.35">
      <c r="A64" s="435">
        <v>6</v>
      </c>
      <c r="B64" s="435" t="b">
        <f>AND(5.99&lt;B5,B5&lt;7)</f>
        <v>0</v>
      </c>
      <c r="C64" s="435" t="b">
        <f>AND(599&lt;C5,C5&lt;700)</f>
        <v>0</v>
      </c>
      <c r="D64" s="435">
        <f>IF(B64,6,0)</f>
        <v>0</v>
      </c>
      <c r="E64" s="435">
        <f>IF(C64,6,0)</f>
        <v>0</v>
      </c>
      <c r="J64" s="512"/>
      <c r="K64" s="435" t="b">
        <f>AND(599&lt;K5,K5&lt;700)</f>
        <v>0</v>
      </c>
      <c r="L64" s="435" t="b">
        <f>AND(599&lt;L5,L5&lt;700)</f>
        <v>0</v>
      </c>
      <c r="M64" s="435" t="b">
        <f>AND(599&lt;M5,M5&lt;700)</f>
        <v>0</v>
      </c>
      <c r="N64" s="435" t="b">
        <f>AND(599&lt;N5,N5&lt;700)</f>
        <v>0</v>
      </c>
      <c r="O64" s="435" t="b">
        <f>AND(60%&lt;O5,O5&lt;69.9%)</f>
        <v>0</v>
      </c>
      <c r="P64" s="435">
        <f>IF(K64,6,0)</f>
        <v>0</v>
      </c>
      <c r="Q64" s="435">
        <f>IF(L64,6,0)</f>
        <v>0</v>
      </c>
      <c r="R64" s="435">
        <f>IF(M64,6,0)</f>
        <v>0</v>
      </c>
      <c r="S64" s="435">
        <f>IF(N64,6,0)</f>
        <v>0</v>
      </c>
      <c r="T64" s="435">
        <f>IF(O64,6,0)</f>
        <v>0</v>
      </c>
      <c r="U64" s="435" t="b">
        <f>AND(79.99%&lt;U5,U5&lt;85%)</f>
        <v>0</v>
      </c>
      <c r="V64" s="435" t="b">
        <f>AND(79.99%&lt;V5,V5&lt;85%)</f>
        <v>0</v>
      </c>
      <c r="W64" s="435" t="b">
        <f>AND(79.99%&lt;W5,W5&lt;85%)</f>
        <v>0</v>
      </c>
      <c r="X64" s="435" t="b">
        <f>AND(79.99%&lt;X5,X5&lt;85%)</f>
        <v>0</v>
      </c>
      <c r="Y64" s="435">
        <f>IF(U64,6,0)</f>
        <v>0</v>
      </c>
      <c r="Z64" s="435">
        <f>IF(V64,6,0)</f>
        <v>0</v>
      </c>
      <c r="AA64" s="435">
        <f>IF(W64,6,0)</f>
        <v>0</v>
      </c>
      <c r="AC64" s="512"/>
      <c r="AD64" s="435" t="b">
        <f>AND(59.9%&lt;AC5,AC5&lt;69.9%)</f>
        <v>0</v>
      </c>
      <c r="AE64" s="435" t="b">
        <f>AND(59.9%&lt;AD5,AD5&lt;69.9%)</f>
        <v>0</v>
      </c>
      <c r="AF64" s="435">
        <f>IF(AD64,6,0)</f>
        <v>0</v>
      </c>
      <c r="AG64" s="435">
        <f>IF(AE64,6,0)</f>
        <v>0</v>
      </c>
      <c r="AH64" s="435" t="e">
        <f>IF(#REF!,6,0)</f>
        <v>#REF!</v>
      </c>
      <c r="AI64" s="435" t="e">
        <f>IF(#REF!,6,0)</f>
        <v>#REF!</v>
      </c>
      <c r="AJ64" s="435" t="b">
        <f>AND(79.99%&lt;AJ5,AJ5&lt;85%)</f>
        <v>0</v>
      </c>
      <c r="AK64" s="435" t="b">
        <f>AND(79.99%&lt;AK5,AK5&lt;85%)</f>
        <v>0</v>
      </c>
      <c r="AL64" s="435">
        <f>IF(AJ64,6,0)</f>
        <v>0</v>
      </c>
      <c r="AM64" s="435">
        <f>IF(AK64,6,0)</f>
        <v>0</v>
      </c>
      <c r="AQ64" s="435" t="b">
        <f>AND(59.9%&lt;AQ5,AQ5&lt;69.9%)</f>
        <v>0</v>
      </c>
      <c r="AR64" s="435" t="b">
        <f>AND(59.9%&lt;AR5,AR5&lt;69.9%)</f>
        <v>0</v>
      </c>
      <c r="AS64" s="435">
        <f>IF(AQ64,6,0)</f>
        <v>0</v>
      </c>
      <c r="AT64" s="435">
        <f>IF(AR64,6,0)</f>
        <v>0</v>
      </c>
    </row>
    <row r="65" spans="1:46" s="435" customFormat="1" hidden="1" x14ac:dyDescent="0.35">
      <c r="A65" s="435">
        <v>5</v>
      </c>
      <c r="B65" s="435" t="b">
        <f>AND(4.99&lt;B5,B5&lt;6)</f>
        <v>0</v>
      </c>
      <c r="C65" s="435" t="b">
        <f>AND(499&lt;C5,C5&lt;600)</f>
        <v>0</v>
      </c>
      <c r="D65" s="435">
        <f>IF(B65,5,0)</f>
        <v>0</v>
      </c>
      <c r="E65" s="435">
        <f>IF(C65,5,0)</f>
        <v>0</v>
      </c>
      <c r="K65" s="435" t="b">
        <f>AND(499&lt;K5,K5&lt;600)</f>
        <v>0</v>
      </c>
      <c r="L65" s="435" t="b">
        <f>AND(499&lt;L5,L5&lt;600)</f>
        <v>0</v>
      </c>
      <c r="M65" s="435" t="b">
        <f>AND(499&lt;M5,M5&lt;600)</f>
        <v>0</v>
      </c>
      <c r="N65" s="435" t="b">
        <f>AND(499&lt;N5,N5&lt;600)</f>
        <v>0</v>
      </c>
      <c r="O65" s="435" t="b">
        <f>AND(50%&lt;O5,O5&lt;59.9%)</f>
        <v>0</v>
      </c>
      <c r="P65" s="435">
        <f>IF(K65,5,0)</f>
        <v>0</v>
      </c>
      <c r="Q65" s="435">
        <f>IF(L65,5,0)</f>
        <v>0</v>
      </c>
      <c r="R65" s="435">
        <f>IF(M65,5,0)</f>
        <v>0</v>
      </c>
      <c r="S65" s="435">
        <f>IF(N65,5,0)</f>
        <v>0</v>
      </c>
      <c r="T65" s="435">
        <f>IF(O65,5,0)</f>
        <v>0</v>
      </c>
      <c r="U65" s="435" t="b">
        <f>AND(74.99%&lt;U5,U5&lt;80%)</f>
        <v>0</v>
      </c>
      <c r="V65" s="435" t="b">
        <f>AND(74.99%&lt;V5,V5&lt;80%)</f>
        <v>0</v>
      </c>
      <c r="W65" s="435" t="b">
        <f>AND(74.99%&lt;W5,W5&lt;80%)</f>
        <v>0</v>
      </c>
      <c r="X65" s="435" t="b">
        <f>AND(74.99%&lt;X5,X5&lt;80%)</f>
        <v>0</v>
      </c>
      <c r="Y65" s="435">
        <f>IF(U65,5,0)</f>
        <v>0</v>
      </c>
      <c r="Z65" s="435">
        <f>IF(V65,5,0)</f>
        <v>0</v>
      </c>
      <c r="AA65" s="435">
        <f>IF(W65,5,0)</f>
        <v>0</v>
      </c>
      <c r="AD65" s="435" t="b">
        <f>AND(49.9%&lt;AC5,AC5&lt;59.9%)</f>
        <v>0</v>
      </c>
      <c r="AE65" s="435" t="b">
        <f>AND(49.9%&lt;AD5,AD5&lt;59.9%)</f>
        <v>0</v>
      </c>
      <c r="AF65" s="435">
        <f>IF(AD65,5,0)</f>
        <v>0</v>
      </c>
      <c r="AG65" s="435">
        <f>IF(AE65,5,0)</f>
        <v>0</v>
      </c>
      <c r="AH65" s="435" t="e">
        <f>IF(#REF!,5,0)</f>
        <v>#REF!</v>
      </c>
      <c r="AI65" s="435" t="e">
        <f>IF(#REF!,5,0)</f>
        <v>#REF!</v>
      </c>
      <c r="AJ65" s="435" t="b">
        <f>AND(74.99%&lt;AJ5,AJ5&lt;80%)</f>
        <v>0</v>
      </c>
      <c r="AK65" s="435" t="b">
        <f>AND(74.99%&lt;AK5,AK5&lt;80%)</f>
        <v>0</v>
      </c>
      <c r="AL65" s="435">
        <f>IF(AJ65,5,0)</f>
        <v>0</v>
      </c>
      <c r="AM65" s="435">
        <f>IF(AK65,5,0)</f>
        <v>0</v>
      </c>
      <c r="AQ65" s="435" t="b">
        <f>AND(49.9%&lt;AQ5,AQ5&lt;59.9%)</f>
        <v>0</v>
      </c>
      <c r="AR65" s="435" t="b">
        <f>AND(49.9%&lt;AR5,AR5&lt;59.9%)</f>
        <v>0</v>
      </c>
      <c r="AS65" s="435">
        <f>IF(AQ65,5,0)</f>
        <v>0</v>
      </c>
      <c r="AT65" s="435">
        <f>IF(AR65,5,0)</f>
        <v>0</v>
      </c>
    </row>
    <row r="66" spans="1:46" s="435" customFormat="1" hidden="1" x14ac:dyDescent="0.35">
      <c r="A66" s="435">
        <v>4</v>
      </c>
      <c r="B66" s="435" t="b">
        <f>AND(3.99&lt;B5,B5&lt;5)</f>
        <v>0</v>
      </c>
      <c r="C66" s="435" t="b">
        <f>AND(399&lt;C5,C5&lt;500)</f>
        <v>0</v>
      </c>
      <c r="D66" s="435">
        <f>IF(B66,4,0)</f>
        <v>0</v>
      </c>
      <c r="E66" s="435">
        <f>IF(C66,4,0)</f>
        <v>0</v>
      </c>
      <c r="J66" s="512"/>
      <c r="K66" s="435" t="b">
        <f>AND(399&lt;K5,K5&lt;500)</f>
        <v>0</v>
      </c>
      <c r="L66" s="435" t="b">
        <f>AND(399&lt;L5,L5&lt;500)</f>
        <v>0</v>
      </c>
      <c r="M66" s="435" t="b">
        <f>AND(399&lt;M5,M5&lt;500)</f>
        <v>0</v>
      </c>
      <c r="N66" s="435" t="b">
        <f>AND(399&lt;N5,N5&lt;500)</f>
        <v>0</v>
      </c>
      <c r="O66" s="435" t="b">
        <f>AND(40%&lt;O5,O5&lt;49.9%)</f>
        <v>0</v>
      </c>
      <c r="P66" s="435">
        <f>IF(K66,4,0)</f>
        <v>0</v>
      </c>
      <c r="Q66" s="435">
        <f>IF(L66,4,0)</f>
        <v>0</v>
      </c>
      <c r="R66" s="435">
        <f>IF(M66,4,0)</f>
        <v>0</v>
      </c>
      <c r="S66" s="435">
        <f>IF(N66,4,0)</f>
        <v>0</v>
      </c>
      <c r="T66" s="435">
        <f>IF(O66,4,0)</f>
        <v>0</v>
      </c>
      <c r="U66" s="435" t="b">
        <f>AND(69.99%&lt;U5,U5&lt;75%)</f>
        <v>0</v>
      </c>
      <c r="V66" s="435" t="b">
        <f>AND(69.99%&lt;V5,V5&lt;75%)</f>
        <v>0</v>
      </c>
      <c r="W66" s="435" t="b">
        <f>AND(69.99%&lt;W5,W5&lt;75%)</f>
        <v>0</v>
      </c>
      <c r="X66" s="435" t="b">
        <f>AND(69.99%&lt;X5,X5&lt;75%)</f>
        <v>0</v>
      </c>
      <c r="Y66" s="435">
        <f>IF(U66,4,0)</f>
        <v>0</v>
      </c>
      <c r="Z66" s="435">
        <f>IF(V66,4,0)</f>
        <v>0</v>
      </c>
      <c r="AA66" s="435">
        <f>IF(W66,4,0)</f>
        <v>0</v>
      </c>
      <c r="AC66" s="512"/>
      <c r="AD66" s="435" t="b">
        <f>AND(39.9%&lt;AC5,AC5&lt;49.9%)</f>
        <v>0</v>
      </c>
      <c r="AE66" s="435" t="b">
        <f>AND(39.9%&lt;AD5,AD5&lt;49.9%)</f>
        <v>0</v>
      </c>
      <c r="AF66" s="435">
        <f>IF(AD66,4,0)</f>
        <v>0</v>
      </c>
      <c r="AG66" s="435">
        <f>IF(AE66,4,0)</f>
        <v>0</v>
      </c>
      <c r="AH66" s="435" t="e">
        <f>IF(#REF!,4,0)</f>
        <v>#REF!</v>
      </c>
      <c r="AI66" s="435" t="e">
        <f>IF(#REF!,4,0)</f>
        <v>#REF!</v>
      </c>
      <c r="AJ66" s="435" t="b">
        <f>AND(69.99%&lt;AJ5,AJ5&lt;75%)</f>
        <v>0</v>
      </c>
      <c r="AK66" s="435" t="b">
        <f>AND(69.99%&lt;AK5,AK5&lt;75%)</f>
        <v>0</v>
      </c>
      <c r="AL66" s="435">
        <f>IF(AJ66,4,0)</f>
        <v>0</v>
      </c>
      <c r="AM66" s="435">
        <f>IF(AK66,4,0)</f>
        <v>0</v>
      </c>
      <c r="AQ66" s="435" t="b">
        <f>AND(39.9%&lt;AQ5,AQ5&lt;49.9%)</f>
        <v>0</v>
      </c>
      <c r="AR66" s="435" t="b">
        <f>AND(39.9%&lt;AR5,AR5&lt;49.9%)</f>
        <v>0</v>
      </c>
      <c r="AS66" s="435">
        <f>IF(AQ66,4,0)</f>
        <v>0</v>
      </c>
      <c r="AT66" s="435">
        <f>IF(AR66,4,0)</f>
        <v>0</v>
      </c>
    </row>
    <row r="67" spans="1:46" s="435" customFormat="1" hidden="1" x14ac:dyDescent="0.35">
      <c r="A67" s="435">
        <v>3</v>
      </c>
      <c r="B67" s="435" t="b">
        <f>AND(2.99&lt;B5,B5&lt;4)</f>
        <v>0</v>
      </c>
      <c r="C67" s="435" t="b">
        <f>AND(299&lt;C5,C5&lt;400)</f>
        <v>0</v>
      </c>
      <c r="D67" s="435">
        <f>IF(B67,3,0)</f>
        <v>0</v>
      </c>
      <c r="E67" s="435">
        <f>IF(C67,3,0)</f>
        <v>0</v>
      </c>
      <c r="K67" s="435" t="b">
        <f>AND(299&lt;K5,K5&lt;400)</f>
        <v>0</v>
      </c>
      <c r="L67" s="435" t="b">
        <f>AND(299&lt;L5,L5&lt;400)</f>
        <v>0</v>
      </c>
      <c r="M67" s="435" t="b">
        <f>AND(299&lt;M5,M5&lt;400)</f>
        <v>0</v>
      </c>
      <c r="N67" s="435" t="b">
        <f>AND(299&lt;N5,N5&lt;400)</f>
        <v>0</v>
      </c>
      <c r="O67" s="435" t="b">
        <f>AND(30%&lt;O5,O5&lt;39.9%)</f>
        <v>0</v>
      </c>
      <c r="P67" s="435">
        <f>IF(K67,3,0)</f>
        <v>0</v>
      </c>
      <c r="Q67" s="435">
        <f>IF(L67,3,0)</f>
        <v>0</v>
      </c>
      <c r="R67" s="435">
        <f>IF(M67,3,0)</f>
        <v>0</v>
      </c>
      <c r="S67" s="435">
        <f>IF(N67,3,0)</f>
        <v>0</v>
      </c>
      <c r="T67" s="435">
        <f>IF(O67,3,0)</f>
        <v>0</v>
      </c>
      <c r="U67" s="435" t="b">
        <f>AND(64.99%&lt;U5,U5&lt;70%)</f>
        <v>0</v>
      </c>
      <c r="V67" s="435" t="b">
        <f>AND(64.99%&lt;V5,V5&lt;70%)</f>
        <v>0</v>
      </c>
      <c r="W67" s="435" t="b">
        <f>AND(64.99%&lt;W5,W5&lt;70%)</f>
        <v>0</v>
      </c>
      <c r="X67" s="435" t="b">
        <f>AND(64.99%&lt;X5,X5&lt;70%)</f>
        <v>0</v>
      </c>
      <c r="Y67" s="435">
        <f>IF(U67,3,0)</f>
        <v>0</v>
      </c>
      <c r="Z67" s="435">
        <f>IF(V67,3,0)</f>
        <v>0</v>
      </c>
      <c r="AA67" s="435">
        <f>IF(W67,3,0)</f>
        <v>0</v>
      </c>
      <c r="AD67" s="435" t="b">
        <f>AND(29.9%&lt;AC5,AC5&lt;39.9%)</f>
        <v>0</v>
      </c>
      <c r="AE67" s="435" t="b">
        <f>AND(29.9%&lt;AD5,AD5&lt;39.9%)</f>
        <v>0</v>
      </c>
      <c r="AF67" s="435">
        <f>IF(AD67,3,0)</f>
        <v>0</v>
      </c>
      <c r="AG67" s="435">
        <f>IF(AE67,3,0)</f>
        <v>0</v>
      </c>
      <c r="AH67" s="435" t="e">
        <f>IF(#REF!,3,0)</f>
        <v>#REF!</v>
      </c>
      <c r="AI67" s="435" t="e">
        <f>IF(#REF!,3,0)</f>
        <v>#REF!</v>
      </c>
      <c r="AJ67" s="435" t="b">
        <f>AND(64.99%&lt;AJ5,AJ5&lt;70%)</f>
        <v>0</v>
      </c>
      <c r="AK67" s="435" t="b">
        <f>AND(64.99%&lt;AK5,AK5&lt;70%)</f>
        <v>0</v>
      </c>
      <c r="AL67" s="435">
        <f>IF(AJ67,3,0)</f>
        <v>0</v>
      </c>
      <c r="AM67" s="435">
        <f>IF(AK67,3,0)</f>
        <v>0</v>
      </c>
      <c r="AQ67" s="435" t="b">
        <f>AND(29.9%&lt;AQ5,AQ5&lt;39.9%)</f>
        <v>0</v>
      </c>
      <c r="AR67" s="435" t="b">
        <f>AND(29.9%&lt;AR5,AR5&lt;39.9%)</f>
        <v>0</v>
      </c>
      <c r="AS67" s="435">
        <f>IF(AQ67,3,0)</f>
        <v>0</v>
      </c>
      <c r="AT67" s="435">
        <f>IF(AR67,3,0)</f>
        <v>0</v>
      </c>
    </row>
    <row r="68" spans="1:46" s="435" customFormat="1" hidden="1" x14ac:dyDescent="0.35">
      <c r="A68" s="435">
        <v>2</v>
      </c>
      <c r="B68" s="435" t="b">
        <f>AND(1.99&lt;B5,B5&lt;3)</f>
        <v>0</v>
      </c>
      <c r="C68" s="435" t="b">
        <f>AND(199&lt;C5,C5&lt;300)</f>
        <v>0</v>
      </c>
      <c r="D68" s="435">
        <f>IF(B68,2,0)</f>
        <v>0</v>
      </c>
      <c r="E68" s="435">
        <f>IF(C68,2,0)</f>
        <v>0</v>
      </c>
      <c r="J68" s="512"/>
      <c r="K68" s="435" t="b">
        <f>AND(199&lt;K5,K5&lt;300)</f>
        <v>0</v>
      </c>
      <c r="L68" s="435" t="b">
        <f>AND(199&lt;L5,L5&lt;300)</f>
        <v>0</v>
      </c>
      <c r="M68" s="435" t="b">
        <f>AND(199&lt;M5,M5&lt;300)</f>
        <v>0</v>
      </c>
      <c r="N68" s="435" t="b">
        <f>AND(199&lt;N5,N5&lt;300)</f>
        <v>0</v>
      </c>
      <c r="O68" s="435" t="b">
        <f>AND(20%&lt;O5,O5&lt;29.9%)</f>
        <v>0</v>
      </c>
      <c r="P68" s="435">
        <f>IF(K68,2,0)</f>
        <v>0</v>
      </c>
      <c r="Q68" s="435">
        <f>IF(L68,2,0)</f>
        <v>0</v>
      </c>
      <c r="R68" s="435">
        <f>IF(M68,2,0)</f>
        <v>0</v>
      </c>
      <c r="S68" s="435">
        <f>IF(N68,2,0)</f>
        <v>0</v>
      </c>
      <c r="T68" s="435">
        <f>IF(O68,2,0)</f>
        <v>0</v>
      </c>
      <c r="U68" s="435" t="b">
        <f>AND(59.99%&lt;U5,U5&lt;65%)</f>
        <v>0</v>
      </c>
      <c r="V68" s="435" t="b">
        <f>AND(59.99%&lt;V5,V5&lt;65%)</f>
        <v>0</v>
      </c>
      <c r="W68" s="435" t="b">
        <f>AND(59.99%&lt;W5,W5&lt;65%)</f>
        <v>0</v>
      </c>
      <c r="X68" s="435" t="b">
        <f>AND(59.99%&lt;X5,X5&lt;65%)</f>
        <v>0</v>
      </c>
      <c r="Y68" s="435">
        <f>IF(U68,2,0)</f>
        <v>0</v>
      </c>
      <c r="Z68" s="435">
        <f>IF(V68,2,0)</f>
        <v>0</v>
      </c>
      <c r="AA68" s="435">
        <f>IF(W68,2,0)</f>
        <v>0</v>
      </c>
      <c r="AC68" s="512"/>
      <c r="AD68" s="435" t="b">
        <f>AND(19.9%&lt;AC5,AC5&lt;29.9%)</f>
        <v>0</v>
      </c>
      <c r="AE68" s="435" t="b">
        <f>AND(19.9%&lt;AD5,AD5&lt;29.9%)</f>
        <v>0</v>
      </c>
      <c r="AF68" s="435">
        <f>IF(AD68,2,0)</f>
        <v>0</v>
      </c>
      <c r="AG68" s="435">
        <f>IF(AE68,2,0)</f>
        <v>0</v>
      </c>
      <c r="AH68" s="435" t="e">
        <f>IF(#REF!,2,0)</f>
        <v>#REF!</v>
      </c>
      <c r="AI68" s="435" t="e">
        <f>IF(#REF!,2,0)</f>
        <v>#REF!</v>
      </c>
      <c r="AJ68" s="435" t="b">
        <f>AND(59.99%&lt;AJ5,AJ5&lt;65%)</f>
        <v>0</v>
      </c>
      <c r="AK68" s="435" t="b">
        <f>AND(59.99%&lt;AK5,AK5&lt;65%)</f>
        <v>0</v>
      </c>
      <c r="AL68" s="435">
        <f>IF(AJ68,2,0)</f>
        <v>0</v>
      </c>
      <c r="AM68" s="435">
        <f>IF(AK68,2,0)</f>
        <v>0</v>
      </c>
      <c r="AQ68" s="435" t="b">
        <f>AND(19.9%&lt;AQ5,AQ5&lt;29.9%)</f>
        <v>0</v>
      </c>
      <c r="AR68" s="435" t="b">
        <f>AND(19.9%&lt;AR5,AR5&lt;29.9%)</f>
        <v>0</v>
      </c>
      <c r="AS68" s="435">
        <f>IF(AQ68,2,0)</f>
        <v>0</v>
      </c>
      <c r="AT68" s="435">
        <f>IF(AR68,2,0)</f>
        <v>0</v>
      </c>
    </row>
    <row r="69" spans="1:46" s="435" customFormat="1" hidden="1" x14ac:dyDescent="0.35">
      <c r="A69" s="435">
        <v>1</v>
      </c>
      <c r="B69" s="435" t="b">
        <f>AND(0.99&lt;B5,B5&lt;2)</f>
        <v>0</v>
      </c>
      <c r="C69" s="435" t="b">
        <f>AND(99&lt;C5,C5&lt;200)</f>
        <v>0</v>
      </c>
      <c r="D69" s="435">
        <f>IF(B69,1,0)</f>
        <v>0</v>
      </c>
      <c r="E69" s="435">
        <f>IF(C69,1,0)</f>
        <v>0</v>
      </c>
      <c r="K69" s="435" t="b">
        <f>AND(99&lt;K5,K5&lt;200)</f>
        <v>0</v>
      </c>
      <c r="L69" s="435" t="b">
        <f>AND(99&lt;L5,L5&lt;200)</f>
        <v>0</v>
      </c>
      <c r="M69" s="435" t="b">
        <f>AND(99&lt;M5,M5&lt;200)</f>
        <v>0</v>
      </c>
      <c r="N69" s="435" t="b">
        <f>AND(99&lt;N5,N5&lt;200)</f>
        <v>0</v>
      </c>
      <c r="O69" s="435" t="b">
        <f>AND(10%&lt;O5,O5&lt;19.9%)</f>
        <v>0</v>
      </c>
      <c r="P69" s="435">
        <f>IF(K69,1,0)</f>
        <v>0</v>
      </c>
      <c r="Q69" s="435">
        <f>IF(L69,1,0)</f>
        <v>0</v>
      </c>
      <c r="R69" s="435">
        <f>IF(M69,1,0)</f>
        <v>0</v>
      </c>
      <c r="S69" s="435">
        <f>IF(N69,1,0)</f>
        <v>0</v>
      </c>
      <c r="T69" s="435">
        <f>IF(O69,1,0)</f>
        <v>0</v>
      </c>
      <c r="U69" s="435" t="b">
        <f>AND(54.99%&lt;U5,U5&lt;60%)</f>
        <v>0</v>
      </c>
      <c r="V69" s="435" t="b">
        <f>AND(54.99%&lt;V5,V5&lt;60%)</f>
        <v>0</v>
      </c>
      <c r="W69" s="435" t="b">
        <f>AND(54.99%&lt;W5,W5&lt;60%)</f>
        <v>0</v>
      </c>
      <c r="X69" s="435" t="b">
        <f>AND(54.99%&lt;X5,X5&lt;60%)</f>
        <v>0</v>
      </c>
      <c r="Y69" s="435">
        <f>IF(U69,1,0)</f>
        <v>0</v>
      </c>
      <c r="Z69" s="435">
        <f>IF(V69,1,0)</f>
        <v>0</v>
      </c>
      <c r="AA69" s="435">
        <f>IF(W69,1,0)</f>
        <v>0</v>
      </c>
      <c r="AD69" s="435" t="b">
        <f>AND(9.9%&lt;AC5,AC5&lt;19.9%)</f>
        <v>0</v>
      </c>
      <c r="AE69" s="435" t="b">
        <f>AND(9.9%&lt;AD5,AD5&lt;19.9%)</f>
        <v>0</v>
      </c>
      <c r="AF69" s="435">
        <f>IF(AD69,1,0)</f>
        <v>0</v>
      </c>
      <c r="AG69" s="435">
        <f>IF(AE69,1,0)</f>
        <v>0</v>
      </c>
      <c r="AH69" s="435" t="e">
        <f>IF(#REF!,1,0)</f>
        <v>#REF!</v>
      </c>
      <c r="AI69" s="435" t="e">
        <f>IF(#REF!,1,0)</f>
        <v>#REF!</v>
      </c>
      <c r="AJ69" s="435" t="b">
        <f>AND(54.99%&lt;AJ5,AJ5&lt;60%)</f>
        <v>0</v>
      </c>
      <c r="AK69" s="435" t="b">
        <f>AND(54.99%&lt;AK5,AK5&lt;60%)</f>
        <v>0</v>
      </c>
      <c r="AL69" s="435">
        <f>IF(AJ69,1,0)</f>
        <v>0</v>
      </c>
      <c r="AM69" s="435">
        <f>IF(AK69,1,0)</f>
        <v>0</v>
      </c>
      <c r="AQ69" s="435" t="b">
        <f>AND(9.9%&lt;AQ5,AQ5&lt;19.9%)</f>
        <v>0</v>
      </c>
      <c r="AR69" s="435" t="b">
        <f>AND(9.9%&lt;AR5,AR5&lt;19.9%)</f>
        <v>0</v>
      </c>
      <c r="AS69" s="435">
        <f>IF(AQ69,1,0)</f>
        <v>0</v>
      </c>
      <c r="AT69" s="435">
        <f>IF(AR69,1,0)</f>
        <v>0</v>
      </c>
    </row>
    <row r="70" spans="1:46" s="435" customFormat="1" hidden="1" x14ac:dyDescent="0.35">
      <c r="A70" s="435">
        <v>0</v>
      </c>
      <c r="B70" s="435" t="b">
        <f>AND(0&lt;B5,B5&lt;1)</f>
        <v>0</v>
      </c>
      <c r="C70" s="435" t="b">
        <f>AND(99&lt;C5,C5&lt;200)</f>
        <v>0</v>
      </c>
      <c r="D70" s="435">
        <f>IF(B70,10,0)</f>
        <v>0</v>
      </c>
      <c r="E70" s="435">
        <f>IF(C70,0,0)</f>
        <v>0</v>
      </c>
      <c r="J70" s="512"/>
      <c r="K70" s="435" t="b">
        <f>AND(99&lt;K5,K5&lt;200)</f>
        <v>0</v>
      </c>
      <c r="L70" s="435" t="b">
        <f>AND(99&lt;L5,L5&lt;200)</f>
        <v>0</v>
      </c>
      <c r="M70" s="435" t="b">
        <f>AND(99&lt;M5,M5&lt;200)</f>
        <v>0</v>
      </c>
      <c r="N70" s="435" t="b">
        <f>AND(99&lt;N5,N5&lt;200)</f>
        <v>0</v>
      </c>
      <c r="O70" s="435" t="b">
        <f>AND(0%&lt;O5,O5&lt;9.9%)</f>
        <v>0</v>
      </c>
      <c r="P70" s="435">
        <f>IF(K70,0,0)</f>
        <v>0</v>
      </c>
      <c r="Q70" s="435">
        <f>IF(L70,0,0)</f>
        <v>0</v>
      </c>
      <c r="R70" s="435">
        <f>IF(M70,0,0)</f>
        <v>0</v>
      </c>
      <c r="S70" s="435">
        <f>IF(N70,0,0)</f>
        <v>0</v>
      </c>
      <c r="T70" s="435">
        <f>IF(O70,0,0)</f>
        <v>0</v>
      </c>
      <c r="U70" s="435" t="b">
        <f>AND(0%&lt;U5,U5&lt;55%)</f>
        <v>0</v>
      </c>
      <c r="V70" s="435" t="b">
        <f>AND(0%&lt;V5,V5&lt;55%)</f>
        <v>0</v>
      </c>
      <c r="W70" s="435" t="b">
        <f>AND(0%&lt;W5,W5&lt;55%)</f>
        <v>0</v>
      </c>
      <c r="X70" s="435" t="b">
        <f>AND(0%&lt;X5,X5&lt;55%)</f>
        <v>0</v>
      </c>
      <c r="Y70" s="435">
        <f>IF(U70,0,0)</f>
        <v>0</v>
      </c>
      <c r="Z70" s="435">
        <f>IF(V70,0,0)</f>
        <v>0</v>
      </c>
      <c r="AA70" s="435">
        <f>IF(W70,0,0)</f>
        <v>0</v>
      </c>
      <c r="AC70" s="512"/>
      <c r="AD70" s="435" t="b">
        <f>AND(0%&lt;AC5,AC5&lt;9.9%)</f>
        <v>0</v>
      </c>
      <c r="AE70" s="435" t="b">
        <f>AND(0%&lt;AD5,AD5&lt;9.9%)</f>
        <v>0</v>
      </c>
      <c r="AF70" s="435">
        <f>IF(AE70,0,0)</f>
        <v>0</v>
      </c>
      <c r="AG70" s="435">
        <f>IF(AE70,0,0)</f>
        <v>0</v>
      </c>
      <c r="AH70" s="435" t="e">
        <f>IF(#REF!,0,0)</f>
        <v>#REF!</v>
      </c>
      <c r="AI70" s="435" t="e">
        <f>IF(#REF!,0,0)</f>
        <v>#REF!</v>
      </c>
      <c r="AJ70" s="435" t="b">
        <f>AND(0%&lt;AJ5,AJ5&lt;55%)</f>
        <v>0</v>
      </c>
      <c r="AK70" s="435" t="b">
        <f>AND(0%&lt;AK5,AK5&lt;55%)</f>
        <v>0</v>
      </c>
      <c r="AL70" s="435">
        <f>IF(AJ70,0,0)</f>
        <v>0</v>
      </c>
      <c r="AM70" s="435">
        <f>IF(AK70,0,0)</f>
        <v>0</v>
      </c>
      <c r="AQ70" s="435" t="b">
        <f>AND(0%&lt;AQ5,AQ5&lt;9.9%)</f>
        <v>0</v>
      </c>
      <c r="AR70" s="435" t="b">
        <f>AND(0%&lt;AR5,AR5&lt;9.9%)</f>
        <v>0</v>
      </c>
      <c r="AS70" s="435">
        <f>IF(AQ70,0,0)</f>
        <v>0</v>
      </c>
      <c r="AT70" s="435">
        <f>IF(AR70,0,0)</f>
        <v>0</v>
      </c>
    </row>
    <row r="71" spans="1:46" s="435" customFormat="1" hidden="1" x14ac:dyDescent="0.35">
      <c r="D71" s="435">
        <f>SUM(D60:D70)</f>
        <v>0</v>
      </c>
      <c r="E71" s="435">
        <f>SUM(E60:E70)</f>
        <v>0</v>
      </c>
      <c r="P71" s="435">
        <f>SUM(P60:P70)</f>
        <v>0</v>
      </c>
      <c r="Q71" s="435">
        <f>SUM(Q60:Q70)</f>
        <v>0</v>
      </c>
      <c r="R71" s="435">
        <f>SUM(R60:R70)</f>
        <v>0</v>
      </c>
      <c r="S71" s="435">
        <f>SUM(S60:S70)</f>
        <v>0</v>
      </c>
      <c r="T71" s="435">
        <f>SUM(T60:T70)</f>
        <v>0</v>
      </c>
      <c r="Y71" s="435">
        <f>SUM(Y60:Y70)</f>
        <v>0</v>
      </c>
      <c r="Z71" s="435">
        <f>SUM(Z60:Z70)</f>
        <v>0</v>
      </c>
      <c r="AA71" s="435">
        <f>SUM(AA60:AA70)</f>
        <v>0</v>
      </c>
      <c r="AF71" s="435">
        <f>SUM(AF60:AF70)</f>
        <v>0</v>
      </c>
      <c r="AG71" s="435">
        <f>SUM(AG60:AG70)</f>
        <v>0</v>
      </c>
      <c r="AH71" s="435" t="e">
        <f>SUM(AH60:AH70)</f>
        <v>#REF!</v>
      </c>
      <c r="AI71" s="435" t="e">
        <f>SUM(AI60:AI70)</f>
        <v>#REF!</v>
      </c>
      <c r="AL71" s="435">
        <f>SUM(AL60:AL70)</f>
        <v>0</v>
      </c>
      <c r="AM71" s="435">
        <f>SUM(AM60:AM70)</f>
        <v>0</v>
      </c>
      <c r="AS71" s="435">
        <f>SUM(AS60:AS70)</f>
        <v>0</v>
      </c>
      <c r="AT71" s="435">
        <f>SUM(AT60:AT70)</f>
        <v>0</v>
      </c>
    </row>
    <row r="72" spans="1:46" s="435" customFormat="1" hidden="1" x14ac:dyDescent="0.35">
      <c r="D72" s="513"/>
      <c r="AC72" s="512"/>
    </row>
    <row r="73" spans="1:46" hidden="1" x14ac:dyDescent="0.35"/>
  </sheetData>
  <mergeCells count="2">
    <mergeCell ref="A23:D23"/>
    <mergeCell ref="A24:D24"/>
  </mergeCells>
  <phoneticPr fontId="16"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47" t="s">
        <v>388</v>
      </c>
      <c r="H1" s="348" t="s">
        <v>389</v>
      </c>
      <c r="I1" s="144"/>
      <c r="J1" s="144"/>
      <c r="Q1"/>
    </row>
    <row r="2" spans="1:22" ht="15" thickBot="1" x14ac:dyDescent="0.4"/>
    <row r="3" spans="1:22" x14ac:dyDescent="0.35">
      <c r="A3" s="349" t="s">
        <v>80</v>
      </c>
      <c r="B3" s="350" t="s">
        <v>388</v>
      </c>
      <c r="C3" s="350"/>
      <c r="D3" s="350"/>
      <c r="E3" s="350"/>
      <c r="F3" s="350"/>
      <c r="G3" s="350"/>
      <c r="H3" s="351"/>
      <c r="I3" s="352" t="s">
        <v>392</v>
      </c>
      <c r="J3" s="350"/>
      <c r="K3" s="641"/>
      <c r="L3" s="641"/>
      <c r="M3" s="641"/>
      <c r="N3" s="641"/>
      <c r="O3" s="351"/>
      <c r="P3" s="352" t="s">
        <v>81</v>
      </c>
      <c r="Q3" s="350"/>
      <c r="R3" s="350"/>
      <c r="S3" s="350"/>
      <c r="T3" s="350"/>
      <c r="U3" s="350"/>
      <c r="V3" s="356"/>
    </row>
    <row r="4" spans="1:22" ht="63.5" x14ac:dyDescent="0.35">
      <c r="A4" s="353" t="s">
        <v>393</v>
      </c>
      <c r="B4" s="141" t="s">
        <v>394</v>
      </c>
      <c r="C4" s="141" t="s">
        <v>416</v>
      </c>
      <c r="D4" s="141" t="s">
        <v>82</v>
      </c>
      <c r="E4" s="141" t="s">
        <v>83</v>
      </c>
      <c r="F4" s="141" t="s">
        <v>84</v>
      </c>
      <c r="G4" s="354" t="s">
        <v>92</v>
      </c>
      <c r="I4" s="355" t="s">
        <v>395</v>
      </c>
      <c r="J4" s="141" t="s">
        <v>416</v>
      </c>
      <c r="K4" s="141" t="s">
        <v>82</v>
      </c>
      <c r="L4" s="141" t="s">
        <v>83</v>
      </c>
      <c r="M4" s="141" t="s">
        <v>84</v>
      </c>
      <c r="N4" s="354" t="s">
        <v>92</v>
      </c>
      <c r="P4" s="355" t="s">
        <v>396</v>
      </c>
      <c r="Q4" s="141" t="s">
        <v>416</v>
      </c>
      <c r="R4" s="141" t="s">
        <v>82</v>
      </c>
      <c r="S4" s="141" t="s">
        <v>83</v>
      </c>
      <c r="T4" s="141" t="s">
        <v>84</v>
      </c>
      <c r="U4" s="354" t="s">
        <v>92</v>
      </c>
    </row>
    <row r="5" spans="1:22" x14ac:dyDescent="0.35">
      <c r="A5" s="356"/>
      <c r="B5" s="139" t="s">
        <v>77</v>
      </c>
      <c r="C5" s="138">
        <v>40</v>
      </c>
      <c r="D5" s="138">
        <v>5</v>
      </c>
      <c r="E5" s="138">
        <v>3</v>
      </c>
      <c r="F5" s="138">
        <v>12</v>
      </c>
      <c r="G5" s="138" t="s">
        <v>455</v>
      </c>
      <c r="I5" s="139" t="s">
        <v>77</v>
      </c>
      <c r="J5" s="142">
        <v>5</v>
      </c>
      <c r="K5" s="142">
        <v>8</v>
      </c>
      <c r="L5" s="142">
        <v>1</v>
      </c>
      <c r="M5" s="142">
        <v>4</v>
      </c>
      <c r="N5" s="142">
        <v>12</v>
      </c>
      <c r="P5" s="139" t="s">
        <v>77</v>
      </c>
      <c r="Q5" s="143">
        <v>2</v>
      </c>
      <c r="R5" s="143">
        <v>8</v>
      </c>
      <c r="S5" s="143">
        <v>1</v>
      </c>
      <c r="T5" s="143">
        <v>8</v>
      </c>
      <c r="U5" s="143">
        <v>15</v>
      </c>
    </row>
    <row r="6" spans="1:22" x14ac:dyDescent="0.35">
      <c r="A6" s="356"/>
      <c r="B6" s="139" t="s">
        <v>391</v>
      </c>
      <c r="C6" s="138">
        <v>40</v>
      </c>
      <c r="D6" s="138">
        <v>5</v>
      </c>
      <c r="E6" s="138">
        <v>3</v>
      </c>
      <c r="F6" s="138">
        <v>12</v>
      </c>
      <c r="G6" s="138" t="s">
        <v>455</v>
      </c>
      <c r="I6" s="139" t="s">
        <v>391</v>
      </c>
      <c r="J6" s="142">
        <v>5</v>
      </c>
      <c r="K6" s="142">
        <v>6</v>
      </c>
      <c r="L6" s="142">
        <v>1</v>
      </c>
      <c r="M6" s="142">
        <v>4</v>
      </c>
      <c r="N6" s="142">
        <v>12</v>
      </c>
      <c r="P6" s="139" t="s">
        <v>391</v>
      </c>
      <c r="Q6" s="143">
        <v>2</v>
      </c>
      <c r="R6" s="143">
        <v>8</v>
      </c>
      <c r="S6" s="143">
        <v>1</v>
      </c>
      <c r="T6" s="143">
        <v>8</v>
      </c>
      <c r="U6" s="143">
        <v>15</v>
      </c>
    </row>
    <row r="7" spans="1:22" x14ac:dyDescent="0.35">
      <c r="A7" s="356"/>
      <c r="B7" s="139" t="s">
        <v>184</v>
      </c>
      <c r="C7" s="138">
        <v>30</v>
      </c>
      <c r="D7" s="138">
        <v>3</v>
      </c>
      <c r="E7" s="138">
        <v>2</v>
      </c>
      <c r="F7" s="138">
        <v>10</v>
      </c>
      <c r="G7" s="138" t="s">
        <v>455</v>
      </c>
      <c r="I7" s="139" t="s">
        <v>184</v>
      </c>
      <c r="J7" s="142">
        <v>2</v>
      </c>
      <c r="K7" s="142">
        <v>5</v>
      </c>
      <c r="L7" s="142">
        <v>1</v>
      </c>
      <c r="M7" s="142">
        <v>4</v>
      </c>
      <c r="N7" s="142">
        <v>6</v>
      </c>
      <c r="P7" s="139" t="s">
        <v>184</v>
      </c>
      <c r="Q7" s="143">
        <v>2</v>
      </c>
      <c r="R7" s="143">
        <v>6</v>
      </c>
      <c r="S7" s="143">
        <v>1</v>
      </c>
      <c r="T7" s="143">
        <v>4</v>
      </c>
      <c r="U7" s="143">
        <v>10</v>
      </c>
    </row>
    <row r="8" spans="1:22" x14ac:dyDescent="0.35">
      <c r="A8" s="356"/>
      <c r="B8" s="139" t="s">
        <v>183</v>
      </c>
      <c r="C8" s="138">
        <v>30</v>
      </c>
      <c r="D8" s="138">
        <v>3</v>
      </c>
      <c r="E8" s="138">
        <v>2</v>
      </c>
      <c r="F8" s="138">
        <v>10</v>
      </c>
      <c r="G8" s="138" t="s">
        <v>455</v>
      </c>
      <c r="I8" s="139" t="s">
        <v>183</v>
      </c>
      <c r="J8" s="142">
        <v>2</v>
      </c>
      <c r="K8" s="142">
        <v>4</v>
      </c>
      <c r="L8" s="142">
        <v>1</v>
      </c>
      <c r="M8" s="142">
        <v>4</v>
      </c>
      <c r="N8" s="142">
        <v>6</v>
      </c>
      <c r="P8" s="139" t="s">
        <v>183</v>
      </c>
      <c r="Q8" s="143">
        <v>2</v>
      </c>
      <c r="R8" s="143">
        <v>6</v>
      </c>
      <c r="S8" s="143">
        <v>1</v>
      </c>
      <c r="T8" s="143">
        <v>4</v>
      </c>
      <c r="U8" s="143">
        <v>10</v>
      </c>
    </row>
    <row r="9" spans="1:22" x14ac:dyDescent="0.35">
      <c r="A9" s="356"/>
      <c r="B9" s="139" t="s">
        <v>94</v>
      </c>
      <c r="C9" s="138">
        <v>20</v>
      </c>
      <c r="D9" s="138">
        <v>3</v>
      </c>
      <c r="E9" s="138">
        <v>1</v>
      </c>
      <c r="F9" s="138">
        <v>6</v>
      </c>
      <c r="G9" s="138" t="s">
        <v>455</v>
      </c>
      <c r="I9" s="139" t="s">
        <v>94</v>
      </c>
      <c r="J9" s="142">
        <v>2</v>
      </c>
      <c r="K9" s="142">
        <v>4</v>
      </c>
      <c r="L9" s="142">
        <v>1</v>
      </c>
      <c r="M9" s="142">
        <v>4</v>
      </c>
      <c r="N9" s="142">
        <v>4</v>
      </c>
      <c r="P9" s="139" t="s">
        <v>94</v>
      </c>
      <c r="Q9" s="143">
        <v>2</v>
      </c>
      <c r="R9" s="143">
        <v>4</v>
      </c>
      <c r="S9" s="143">
        <v>1</v>
      </c>
      <c r="T9" s="143">
        <v>4</v>
      </c>
      <c r="U9" s="143">
        <v>4</v>
      </c>
    </row>
    <row r="10" spans="1:22" x14ac:dyDescent="0.35">
      <c r="A10" s="356"/>
      <c r="B10" s="139" t="s">
        <v>387</v>
      </c>
      <c r="C10" s="138">
        <v>20</v>
      </c>
      <c r="D10" s="138">
        <v>3</v>
      </c>
      <c r="E10" s="138">
        <v>1</v>
      </c>
      <c r="F10" s="138">
        <v>6</v>
      </c>
      <c r="G10" s="138" t="s">
        <v>455</v>
      </c>
      <c r="I10" s="139" t="s">
        <v>387</v>
      </c>
      <c r="J10" s="142">
        <v>2</v>
      </c>
      <c r="K10" s="142">
        <v>6</v>
      </c>
      <c r="L10" s="142">
        <v>1</v>
      </c>
      <c r="M10" s="142">
        <v>4</v>
      </c>
      <c r="N10" s="142">
        <v>6</v>
      </c>
      <c r="P10" s="139" t="s">
        <v>387</v>
      </c>
      <c r="Q10" s="143">
        <v>2</v>
      </c>
      <c r="R10" s="143">
        <v>6</v>
      </c>
      <c r="S10" s="143">
        <v>1</v>
      </c>
      <c r="T10" s="143">
        <v>4</v>
      </c>
      <c r="U10" s="143">
        <v>10</v>
      </c>
    </row>
    <row r="11" spans="1:22" x14ac:dyDescent="0.35">
      <c r="A11" s="356"/>
      <c r="B11" s="139" t="s">
        <v>182</v>
      </c>
      <c r="C11" s="138">
        <v>20</v>
      </c>
      <c r="D11" s="138">
        <v>3</v>
      </c>
      <c r="E11" s="138">
        <v>1</v>
      </c>
      <c r="F11" s="138">
        <v>6</v>
      </c>
      <c r="G11" s="138" t="s">
        <v>455</v>
      </c>
      <c r="I11" s="139" t="s">
        <v>182</v>
      </c>
      <c r="J11" s="142">
        <v>2</v>
      </c>
      <c r="K11" s="142">
        <v>4</v>
      </c>
      <c r="L11" s="142">
        <v>1</v>
      </c>
      <c r="M11" s="142">
        <v>4</v>
      </c>
      <c r="N11" s="142">
        <v>3</v>
      </c>
      <c r="P11" s="139" t="s">
        <v>182</v>
      </c>
      <c r="Q11" s="143">
        <v>2</v>
      </c>
      <c r="R11" s="143">
        <v>2</v>
      </c>
      <c r="S11" s="143">
        <v>1</v>
      </c>
      <c r="T11" s="143">
        <v>1</v>
      </c>
      <c r="U11" s="143">
        <v>6</v>
      </c>
    </row>
    <row r="12" spans="1:22" x14ac:dyDescent="0.35">
      <c r="A12" s="356"/>
      <c r="B12" s="139" t="s">
        <v>375</v>
      </c>
      <c r="C12" s="138">
        <v>20</v>
      </c>
      <c r="D12" s="138">
        <v>3</v>
      </c>
      <c r="E12" s="138">
        <v>1</v>
      </c>
      <c r="F12" s="138">
        <v>6</v>
      </c>
      <c r="G12" s="138" t="s">
        <v>455</v>
      </c>
      <c r="I12" s="139" t="s">
        <v>375</v>
      </c>
      <c r="J12" s="142" t="s">
        <v>455</v>
      </c>
      <c r="K12" s="142" t="s">
        <v>455</v>
      </c>
      <c r="L12" s="142" t="s">
        <v>455</v>
      </c>
      <c r="M12" s="142" t="s">
        <v>455</v>
      </c>
      <c r="N12" s="142" t="s">
        <v>455</v>
      </c>
      <c r="P12" s="139" t="s">
        <v>375</v>
      </c>
      <c r="Q12" s="143" t="s">
        <v>455</v>
      </c>
      <c r="R12" s="143" t="s">
        <v>455</v>
      </c>
      <c r="S12" s="143" t="s">
        <v>455</v>
      </c>
      <c r="T12" s="143" t="s">
        <v>455</v>
      </c>
      <c r="U12" s="143" t="s">
        <v>455</v>
      </c>
    </row>
    <row r="13" spans="1:22" x14ac:dyDescent="0.35">
      <c r="A13" s="357"/>
      <c r="B13" s="139" t="s">
        <v>181</v>
      </c>
      <c r="C13" s="138">
        <v>20</v>
      </c>
      <c r="D13" s="138">
        <v>3</v>
      </c>
      <c r="E13" s="138">
        <v>1</v>
      </c>
      <c r="F13" s="138">
        <v>6</v>
      </c>
      <c r="G13" s="138" t="s">
        <v>455</v>
      </c>
      <c r="I13" s="139" t="s">
        <v>181</v>
      </c>
      <c r="J13" s="142">
        <v>2</v>
      </c>
      <c r="K13" s="142">
        <v>3</v>
      </c>
      <c r="L13" s="142">
        <v>1</v>
      </c>
      <c r="M13" s="142">
        <v>4</v>
      </c>
      <c r="N13" s="142">
        <v>3</v>
      </c>
      <c r="P13" s="139" t="s">
        <v>181</v>
      </c>
      <c r="Q13" s="143">
        <v>2</v>
      </c>
      <c r="R13" s="143">
        <v>2</v>
      </c>
      <c r="S13" s="143">
        <v>1</v>
      </c>
      <c r="T13" s="143">
        <v>1</v>
      </c>
      <c r="U13" s="143">
        <v>6</v>
      </c>
    </row>
    <row r="14" spans="1:22" x14ac:dyDescent="0.35">
      <c r="B14" s="139" t="s">
        <v>86</v>
      </c>
      <c r="C14" s="138">
        <v>20</v>
      </c>
      <c r="D14" s="138">
        <v>3</v>
      </c>
      <c r="E14" s="138">
        <v>1</v>
      </c>
      <c r="F14" s="138">
        <v>6</v>
      </c>
      <c r="G14" s="138" t="s">
        <v>455</v>
      </c>
      <c r="I14" s="139" t="s">
        <v>86</v>
      </c>
      <c r="J14" s="142">
        <v>2</v>
      </c>
      <c r="K14" s="142">
        <v>4</v>
      </c>
      <c r="L14" s="142">
        <v>1</v>
      </c>
      <c r="M14" s="142">
        <v>2</v>
      </c>
      <c r="N14" s="142">
        <v>2</v>
      </c>
      <c r="P14" s="139" t="s">
        <v>86</v>
      </c>
      <c r="Q14" s="143">
        <v>2</v>
      </c>
      <c r="R14" s="143">
        <v>1</v>
      </c>
      <c r="S14" s="143">
        <v>1</v>
      </c>
      <c r="T14" s="143">
        <v>2</v>
      </c>
      <c r="U14" s="143">
        <v>6</v>
      </c>
    </row>
    <row r="15" spans="1:22" x14ac:dyDescent="0.35">
      <c r="B15" s="139" t="s">
        <v>376</v>
      </c>
      <c r="C15" s="138">
        <v>10</v>
      </c>
      <c r="D15" s="138">
        <v>1</v>
      </c>
      <c r="E15" s="138">
        <v>1</v>
      </c>
      <c r="F15" s="138">
        <v>3</v>
      </c>
      <c r="G15" s="138" t="s">
        <v>455</v>
      </c>
      <c r="I15" s="139" t="s">
        <v>376</v>
      </c>
      <c r="J15" s="142">
        <v>2</v>
      </c>
      <c r="K15" s="142">
        <v>1</v>
      </c>
      <c r="L15" s="142">
        <v>4</v>
      </c>
      <c r="M15" s="142">
        <v>1</v>
      </c>
      <c r="N15" s="142">
        <v>2</v>
      </c>
      <c r="P15" s="139" t="s">
        <v>376</v>
      </c>
      <c r="Q15" s="143">
        <v>2</v>
      </c>
      <c r="R15" s="143">
        <v>1</v>
      </c>
      <c r="S15" s="143">
        <v>1</v>
      </c>
      <c r="T15" s="143">
        <v>2</v>
      </c>
      <c r="U15" s="143">
        <v>6</v>
      </c>
    </row>
    <row r="16" spans="1:22" x14ac:dyDescent="0.35">
      <c r="B16" s="139" t="s">
        <v>88</v>
      </c>
      <c r="C16" s="138">
        <v>4</v>
      </c>
      <c r="D16" s="138">
        <v>1</v>
      </c>
      <c r="E16" s="138">
        <v>1</v>
      </c>
      <c r="F16" s="138">
        <v>4</v>
      </c>
      <c r="G16" s="138" t="s">
        <v>455</v>
      </c>
      <c r="I16" s="139" t="s">
        <v>88</v>
      </c>
      <c r="J16" s="142">
        <v>2</v>
      </c>
      <c r="K16" s="142">
        <v>1</v>
      </c>
      <c r="L16" s="142">
        <v>2</v>
      </c>
      <c r="M16" s="142">
        <v>1</v>
      </c>
      <c r="N16" s="142">
        <v>2</v>
      </c>
      <c r="P16" s="139" t="s">
        <v>88</v>
      </c>
      <c r="Q16" s="143">
        <v>2</v>
      </c>
      <c r="R16" s="143">
        <v>1</v>
      </c>
      <c r="S16" s="143">
        <v>1</v>
      </c>
      <c r="T16" s="143">
        <v>2</v>
      </c>
      <c r="U16" s="143">
        <v>6</v>
      </c>
    </row>
    <row r="17" spans="1:21" x14ac:dyDescent="0.35">
      <c r="A17" s="358"/>
      <c r="B17" s="139" t="s">
        <v>426</v>
      </c>
      <c r="C17" s="138">
        <v>4</v>
      </c>
      <c r="D17" s="138">
        <v>1</v>
      </c>
      <c r="E17" s="138">
        <v>1</v>
      </c>
      <c r="F17" s="138">
        <v>4</v>
      </c>
      <c r="G17" s="138" t="s">
        <v>455</v>
      </c>
      <c r="I17" s="139" t="s">
        <v>426</v>
      </c>
      <c r="J17" s="142">
        <v>2</v>
      </c>
      <c r="K17" s="142">
        <v>1</v>
      </c>
      <c r="L17" s="142">
        <v>2</v>
      </c>
      <c r="M17" s="142">
        <v>1</v>
      </c>
      <c r="N17" s="142">
        <v>2</v>
      </c>
      <c r="P17" s="139" t="s">
        <v>426</v>
      </c>
      <c r="Q17" s="143">
        <v>2</v>
      </c>
      <c r="R17" s="143">
        <v>1</v>
      </c>
      <c r="S17" s="143">
        <v>1</v>
      </c>
      <c r="T17" s="143">
        <v>1</v>
      </c>
      <c r="U17" s="143">
        <v>2</v>
      </c>
    </row>
    <row r="18" spans="1:21" x14ac:dyDescent="0.35">
      <c r="Q18"/>
    </row>
    <row r="19" spans="1:21" x14ac:dyDescent="0.35">
      <c r="Q19"/>
    </row>
    <row r="20" spans="1:21" ht="63.5" x14ac:dyDescent="0.35">
      <c r="A20" s="353" t="s">
        <v>397</v>
      </c>
      <c r="B20" s="141" t="s">
        <v>398</v>
      </c>
      <c r="C20" s="141" t="s">
        <v>416</v>
      </c>
      <c r="D20" s="141" t="s">
        <v>82</v>
      </c>
      <c r="E20" s="141" t="s">
        <v>83</v>
      </c>
      <c r="F20" s="141" t="s">
        <v>84</v>
      </c>
      <c r="G20" s="354" t="s">
        <v>92</v>
      </c>
      <c r="I20" s="355" t="s">
        <v>399</v>
      </c>
      <c r="J20" s="141" t="s">
        <v>416</v>
      </c>
      <c r="K20" s="141" t="s">
        <v>82</v>
      </c>
      <c r="L20" s="141" t="s">
        <v>83</v>
      </c>
      <c r="M20" s="141" t="s">
        <v>84</v>
      </c>
      <c r="N20" s="354" t="s">
        <v>92</v>
      </c>
      <c r="P20" s="355" t="s">
        <v>400</v>
      </c>
      <c r="Q20" s="141" t="s">
        <v>416</v>
      </c>
      <c r="R20" s="141" t="s">
        <v>82</v>
      </c>
      <c r="S20" s="141" t="s">
        <v>83</v>
      </c>
      <c r="T20" s="141" t="s">
        <v>84</v>
      </c>
      <c r="U20" s="354" t="s">
        <v>92</v>
      </c>
    </row>
    <row r="21" spans="1:21" x14ac:dyDescent="0.35">
      <c r="A21" s="356"/>
      <c r="B21" s="139" t="s">
        <v>77</v>
      </c>
      <c r="C21" s="138">
        <v>30</v>
      </c>
      <c r="D21" s="138">
        <v>3</v>
      </c>
      <c r="E21" s="138">
        <v>2</v>
      </c>
      <c r="F21" s="138">
        <v>10</v>
      </c>
      <c r="G21" s="138" t="s">
        <v>455</v>
      </c>
      <c r="H21" s="359"/>
      <c r="I21" s="139" t="s">
        <v>77</v>
      </c>
      <c r="J21" s="142">
        <v>2</v>
      </c>
      <c r="K21" s="142">
        <v>6</v>
      </c>
      <c r="L21" s="142" t="s">
        <v>455</v>
      </c>
      <c r="M21" s="142">
        <v>3</v>
      </c>
      <c r="N21" s="142">
        <v>8</v>
      </c>
      <c r="P21" s="139" t="s">
        <v>77</v>
      </c>
      <c r="Q21" s="143">
        <v>1</v>
      </c>
      <c r="R21" s="143">
        <v>6</v>
      </c>
      <c r="S21" s="143" t="s">
        <v>455</v>
      </c>
      <c r="T21" s="143">
        <v>6</v>
      </c>
      <c r="U21" s="143">
        <v>12</v>
      </c>
    </row>
    <row r="22" spans="1:21" x14ac:dyDescent="0.35">
      <c r="A22" s="356"/>
      <c r="B22" s="139" t="s">
        <v>391</v>
      </c>
      <c r="C22" s="138">
        <v>30</v>
      </c>
      <c r="D22" s="138">
        <v>3</v>
      </c>
      <c r="E22" s="138">
        <v>2</v>
      </c>
      <c r="F22" s="138">
        <v>10</v>
      </c>
      <c r="G22" s="138" t="s">
        <v>455</v>
      </c>
      <c r="H22" s="359"/>
      <c r="I22" s="139" t="s">
        <v>391</v>
      </c>
      <c r="J22" s="142">
        <v>2</v>
      </c>
      <c r="K22" s="142">
        <v>6</v>
      </c>
      <c r="L22" s="142" t="s">
        <v>455</v>
      </c>
      <c r="M22" s="142">
        <v>2</v>
      </c>
      <c r="N22" s="142">
        <v>8</v>
      </c>
      <c r="P22" s="139" t="s">
        <v>391</v>
      </c>
      <c r="Q22" s="143">
        <v>1</v>
      </c>
      <c r="R22" s="143">
        <v>6</v>
      </c>
      <c r="S22" s="143" t="s">
        <v>455</v>
      </c>
      <c r="T22" s="143">
        <v>6</v>
      </c>
      <c r="U22" s="143">
        <v>12</v>
      </c>
    </row>
    <row r="23" spans="1:21" x14ac:dyDescent="0.35">
      <c r="A23" s="356"/>
      <c r="B23" s="139" t="s">
        <v>184</v>
      </c>
      <c r="C23" s="138">
        <v>20</v>
      </c>
      <c r="D23" s="138">
        <v>2</v>
      </c>
      <c r="E23" s="138">
        <v>1</v>
      </c>
      <c r="F23" s="138">
        <v>6</v>
      </c>
      <c r="G23" s="138" t="s">
        <v>455</v>
      </c>
      <c r="H23" s="359"/>
      <c r="I23" s="139" t="s">
        <v>184</v>
      </c>
      <c r="J23" s="142">
        <v>1</v>
      </c>
      <c r="K23" s="142">
        <v>4</v>
      </c>
      <c r="L23" s="142" t="s">
        <v>455</v>
      </c>
      <c r="M23" s="142">
        <v>2</v>
      </c>
      <c r="N23" s="142">
        <v>4</v>
      </c>
      <c r="P23" s="139" t="s">
        <v>184</v>
      </c>
      <c r="Q23" s="143">
        <v>1</v>
      </c>
      <c r="R23" s="143">
        <v>4</v>
      </c>
      <c r="S23" s="143" t="s">
        <v>455</v>
      </c>
      <c r="T23" s="143">
        <v>2</v>
      </c>
      <c r="U23" s="143">
        <v>8</v>
      </c>
    </row>
    <row r="24" spans="1:21" x14ac:dyDescent="0.35">
      <c r="A24" s="356"/>
      <c r="B24" s="139" t="s">
        <v>183</v>
      </c>
      <c r="C24" s="138">
        <v>20</v>
      </c>
      <c r="D24" s="138">
        <v>2</v>
      </c>
      <c r="E24" s="138">
        <v>1</v>
      </c>
      <c r="F24" s="138">
        <v>6</v>
      </c>
      <c r="G24" s="138" t="s">
        <v>455</v>
      </c>
      <c r="H24" s="359"/>
      <c r="I24" s="139" t="s">
        <v>183</v>
      </c>
      <c r="J24" s="142">
        <v>1</v>
      </c>
      <c r="K24" s="142">
        <v>3</v>
      </c>
      <c r="L24" s="142" t="s">
        <v>455</v>
      </c>
      <c r="M24" s="142">
        <v>2</v>
      </c>
      <c r="N24" s="142">
        <v>4</v>
      </c>
      <c r="P24" s="139" t="s">
        <v>183</v>
      </c>
      <c r="Q24" s="143">
        <v>1</v>
      </c>
      <c r="R24" s="143">
        <v>4</v>
      </c>
      <c r="S24" s="143" t="s">
        <v>455</v>
      </c>
      <c r="T24" s="143">
        <v>2</v>
      </c>
      <c r="U24" s="143">
        <v>8</v>
      </c>
    </row>
    <row r="25" spans="1:21" x14ac:dyDescent="0.35">
      <c r="A25" s="356"/>
      <c r="B25" s="139" t="s">
        <v>94</v>
      </c>
      <c r="C25" s="138">
        <v>16</v>
      </c>
      <c r="D25" s="138">
        <v>2</v>
      </c>
      <c r="E25" s="138" t="s">
        <v>455</v>
      </c>
      <c r="F25" s="138">
        <v>5</v>
      </c>
      <c r="G25" s="138" t="s">
        <v>455</v>
      </c>
      <c r="H25" s="359"/>
      <c r="I25" s="139" t="s">
        <v>94</v>
      </c>
      <c r="J25" s="142">
        <v>1</v>
      </c>
      <c r="K25" s="142">
        <v>3</v>
      </c>
      <c r="L25" s="142" t="s">
        <v>455</v>
      </c>
      <c r="M25" s="142">
        <v>2</v>
      </c>
      <c r="N25" s="142">
        <v>2</v>
      </c>
      <c r="P25" s="139" t="s">
        <v>94</v>
      </c>
      <c r="Q25" s="143">
        <v>1</v>
      </c>
      <c r="R25" s="143">
        <v>3</v>
      </c>
      <c r="S25" s="143" t="s">
        <v>455</v>
      </c>
      <c r="T25" s="143">
        <v>2</v>
      </c>
      <c r="U25" s="143">
        <v>2</v>
      </c>
    </row>
    <row r="26" spans="1:21" x14ac:dyDescent="0.35">
      <c r="A26" s="356"/>
      <c r="B26" s="139" t="s">
        <v>387</v>
      </c>
      <c r="C26" s="138">
        <v>16</v>
      </c>
      <c r="D26" s="138">
        <v>2</v>
      </c>
      <c r="E26" s="138" t="s">
        <v>455</v>
      </c>
      <c r="F26" s="138">
        <v>5</v>
      </c>
      <c r="G26" s="138" t="s">
        <v>455</v>
      </c>
      <c r="H26" s="359"/>
      <c r="I26" s="139" t="s">
        <v>387</v>
      </c>
      <c r="J26" s="142">
        <v>1</v>
      </c>
      <c r="K26" s="142">
        <v>2</v>
      </c>
      <c r="L26" s="142" t="s">
        <v>455</v>
      </c>
      <c r="M26" s="142">
        <v>2</v>
      </c>
      <c r="N26" s="142">
        <v>2</v>
      </c>
      <c r="P26" s="139" t="s">
        <v>387</v>
      </c>
      <c r="Q26" s="143">
        <v>1</v>
      </c>
      <c r="R26" s="143">
        <v>4</v>
      </c>
      <c r="S26" s="143" t="s">
        <v>455</v>
      </c>
      <c r="T26" s="143">
        <v>1</v>
      </c>
      <c r="U26" s="143">
        <v>4</v>
      </c>
    </row>
    <row r="27" spans="1:21" x14ac:dyDescent="0.35">
      <c r="A27" s="356"/>
      <c r="B27" s="139" t="s">
        <v>182</v>
      </c>
      <c r="C27" s="138">
        <v>16</v>
      </c>
      <c r="D27" s="138">
        <v>2</v>
      </c>
      <c r="E27" s="138" t="s">
        <v>455</v>
      </c>
      <c r="F27" s="138">
        <v>5</v>
      </c>
      <c r="G27" s="138" t="s">
        <v>455</v>
      </c>
      <c r="H27" s="359"/>
      <c r="I27" s="139" t="s">
        <v>182</v>
      </c>
      <c r="J27" s="142">
        <v>1</v>
      </c>
      <c r="K27" s="142">
        <v>2</v>
      </c>
      <c r="L27" s="142" t="s">
        <v>455</v>
      </c>
      <c r="M27" s="142">
        <v>2</v>
      </c>
      <c r="N27" s="142">
        <v>2</v>
      </c>
      <c r="P27" s="139" t="s">
        <v>182</v>
      </c>
      <c r="Q27" s="143">
        <v>1</v>
      </c>
      <c r="R27" s="143">
        <v>1</v>
      </c>
      <c r="S27" s="143" t="s">
        <v>455</v>
      </c>
      <c r="T27" s="143"/>
      <c r="U27" s="143">
        <v>4</v>
      </c>
    </row>
    <row r="28" spans="1:21" x14ac:dyDescent="0.35">
      <c r="A28" s="356"/>
      <c r="B28" s="139" t="s">
        <v>375</v>
      </c>
      <c r="C28" s="138">
        <v>16</v>
      </c>
      <c r="D28" s="138">
        <v>2</v>
      </c>
      <c r="E28" s="138" t="s">
        <v>455</v>
      </c>
      <c r="F28" s="138">
        <v>5</v>
      </c>
      <c r="G28" s="138" t="s">
        <v>455</v>
      </c>
      <c r="H28" s="359"/>
      <c r="I28" s="139" t="s">
        <v>375</v>
      </c>
      <c r="J28" s="142" t="s">
        <v>455</v>
      </c>
      <c r="K28" s="142" t="s">
        <v>455</v>
      </c>
      <c r="L28" s="142" t="s">
        <v>455</v>
      </c>
      <c r="M28" s="142" t="s">
        <v>455</v>
      </c>
      <c r="N28" s="142" t="s">
        <v>455</v>
      </c>
      <c r="P28" s="139" t="s">
        <v>375</v>
      </c>
      <c r="Q28" s="143" t="s">
        <v>455</v>
      </c>
      <c r="R28" s="143" t="s">
        <v>455</v>
      </c>
      <c r="S28" s="143" t="s">
        <v>455</v>
      </c>
      <c r="T28" s="143" t="s">
        <v>455</v>
      </c>
      <c r="U28" s="143" t="s">
        <v>455</v>
      </c>
    </row>
    <row r="29" spans="1:21" x14ac:dyDescent="0.35">
      <c r="A29" s="357"/>
      <c r="B29" s="139" t="s">
        <v>181</v>
      </c>
      <c r="C29" s="138">
        <v>16</v>
      </c>
      <c r="D29" s="138">
        <v>2</v>
      </c>
      <c r="E29" s="138" t="s">
        <v>455</v>
      </c>
      <c r="F29" s="138">
        <v>5</v>
      </c>
      <c r="G29" s="138" t="s">
        <v>455</v>
      </c>
      <c r="H29" s="359"/>
      <c r="I29" s="139" t="s">
        <v>181</v>
      </c>
      <c r="J29" s="142">
        <v>1</v>
      </c>
      <c r="K29" s="142">
        <v>2</v>
      </c>
      <c r="L29" s="142" t="s">
        <v>455</v>
      </c>
      <c r="M29" s="142">
        <v>2</v>
      </c>
      <c r="N29" s="142">
        <v>2</v>
      </c>
      <c r="P29" s="139" t="s">
        <v>181</v>
      </c>
      <c r="Q29" s="143">
        <v>1</v>
      </c>
      <c r="R29" s="143" t="s">
        <v>455</v>
      </c>
      <c r="S29" s="143" t="s">
        <v>455</v>
      </c>
      <c r="T29" s="143" t="s">
        <v>455</v>
      </c>
      <c r="U29" s="143">
        <v>4</v>
      </c>
    </row>
    <row r="30" spans="1:21" x14ac:dyDescent="0.35">
      <c r="B30" s="139" t="s">
        <v>86</v>
      </c>
      <c r="C30" s="138">
        <v>16</v>
      </c>
      <c r="D30" s="138">
        <v>2</v>
      </c>
      <c r="E30" s="138" t="s">
        <v>455</v>
      </c>
      <c r="F30" s="138">
        <v>5</v>
      </c>
      <c r="G30" s="138" t="s">
        <v>455</v>
      </c>
      <c r="I30" s="139" t="s">
        <v>86</v>
      </c>
      <c r="J30" s="142">
        <v>1</v>
      </c>
      <c r="K30" s="142">
        <v>2</v>
      </c>
      <c r="L30" s="142" t="s">
        <v>455</v>
      </c>
      <c r="M30" s="142">
        <v>1</v>
      </c>
      <c r="N30" s="142">
        <v>1</v>
      </c>
      <c r="P30" s="139" t="s">
        <v>86</v>
      </c>
      <c r="Q30" s="143">
        <v>1</v>
      </c>
      <c r="R30" s="143" t="s">
        <v>455</v>
      </c>
      <c r="S30" s="143" t="s">
        <v>455</v>
      </c>
      <c r="T30" s="143">
        <v>1</v>
      </c>
      <c r="U30" s="143">
        <v>4</v>
      </c>
    </row>
    <row r="31" spans="1:21" x14ac:dyDescent="0.35">
      <c r="B31" s="139" t="s">
        <v>376</v>
      </c>
      <c r="C31" s="138">
        <v>6</v>
      </c>
      <c r="D31" s="138" t="s">
        <v>455</v>
      </c>
      <c r="E31" s="138" t="s">
        <v>455</v>
      </c>
      <c r="F31" s="138">
        <v>2</v>
      </c>
      <c r="G31" s="138" t="s">
        <v>455</v>
      </c>
      <c r="I31" s="139" t="s">
        <v>376</v>
      </c>
      <c r="J31" s="142">
        <v>1</v>
      </c>
      <c r="K31" s="142" t="s">
        <v>455</v>
      </c>
      <c r="L31" s="142">
        <v>2</v>
      </c>
      <c r="M31" s="142">
        <v>0</v>
      </c>
      <c r="N31" s="142">
        <v>1</v>
      </c>
      <c r="P31" s="139" t="s">
        <v>376</v>
      </c>
      <c r="Q31" s="143">
        <v>1</v>
      </c>
      <c r="R31" s="143" t="s">
        <v>455</v>
      </c>
      <c r="S31" s="143" t="s">
        <v>455</v>
      </c>
      <c r="T31" s="143">
        <v>1</v>
      </c>
      <c r="U31" s="143">
        <v>4</v>
      </c>
    </row>
    <row r="32" spans="1:21" x14ac:dyDescent="0.35">
      <c r="B32" s="139" t="s">
        <v>88</v>
      </c>
      <c r="C32" s="138">
        <v>2</v>
      </c>
      <c r="D32" s="138" t="s">
        <v>455</v>
      </c>
      <c r="E32" s="138" t="s">
        <v>455</v>
      </c>
      <c r="F32" s="138">
        <v>2</v>
      </c>
      <c r="G32" s="138" t="s">
        <v>455</v>
      </c>
      <c r="I32" s="139" t="s">
        <v>88</v>
      </c>
      <c r="J32" s="142">
        <v>1</v>
      </c>
      <c r="K32" s="142" t="s">
        <v>455</v>
      </c>
      <c r="L32" s="142">
        <v>1</v>
      </c>
      <c r="M32" s="142">
        <v>0</v>
      </c>
      <c r="N32" s="142">
        <v>1</v>
      </c>
      <c r="P32" s="139" t="s">
        <v>88</v>
      </c>
      <c r="Q32" s="143">
        <v>1</v>
      </c>
      <c r="R32" s="143" t="s">
        <v>455</v>
      </c>
      <c r="S32" s="143" t="s">
        <v>455</v>
      </c>
      <c r="T32" s="143">
        <v>1</v>
      </c>
      <c r="U32" s="143">
        <v>4</v>
      </c>
    </row>
    <row r="33" spans="1:21" x14ac:dyDescent="0.35">
      <c r="A33" s="358"/>
      <c r="B33" s="139" t="s">
        <v>426</v>
      </c>
      <c r="C33" s="138">
        <v>3</v>
      </c>
      <c r="D33" s="138" t="s">
        <v>455</v>
      </c>
      <c r="E33" s="138" t="s">
        <v>455</v>
      </c>
      <c r="F33" s="138">
        <v>2</v>
      </c>
      <c r="G33" s="138" t="s">
        <v>455</v>
      </c>
      <c r="I33" s="139" t="s">
        <v>426</v>
      </c>
      <c r="J33" s="142">
        <v>1</v>
      </c>
      <c r="K33" s="142" t="s">
        <v>455</v>
      </c>
      <c r="L33" s="142">
        <v>1</v>
      </c>
      <c r="M33" s="142">
        <v>0</v>
      </c>
      <c r="N33" s="142">
        <v>1</v>
      </c>
      <c r="P33" s="139" t="s">
        <v>426</v>
      </c>
      <c r="Q33" s="143">
        <v>1</v>
      </c>
      <c r="R33" s="143" t="s">
        <v>455</v>
      </c>
      <c r="S33" s="143" t="s">
        <v>455</v>
      </c>
      <c r="T33" s="143" t="s">
        <v>455</v>
      </c>
      <c r="U33" s="143">
        <v>1</v>
      </c>
    </row>
    <row r="34" spans="1:21" x14ac:dyDescent="0.35">
      <c r="Q34"/>
    </row>
    <row r="35" spans="1:21" x14ac:dyDescent="0.35">
      <c r="Q35"/>
    </row>
    <row r="36" spans="1:21" ht="63.5" x14ac:dyDescent="0.35">
      <c r="A36" s="353" t="s">
        <v>401</v>
      </c>
      <c r="B36" s="141" t="s">
        <v>402</v>
      </c>
      <c r="C36" s="141" t="s">
        <v>416</v>
      </c>
      <c r="D36" s="141" t="s">
        <v>82</v>
      </c>
      <c r="E36" s="141" t="s">
        <v>83</v>
      </c>
      <c r="F36" s="141" t="s">
        <v>84</v>
      </c>
      <c r="G36" s="354" t="s">
        <v>92</v>
      </c>
      <c r="I36" s="355" t="s">
        <v>403</v>
      </c>
      <c r="J36" s="141" t="s">
        <v>416</v>
      </c>
      <c r="K36" s="141" t="s">
        <v>82</v>
      </c>
      <c r="L36" s="141" t="s">
        <v>83</v>
      </c>
      <c r="M36" s="141" t="s">
        <v>84</v>
      </c>
      <c r="N36" s="354" t="s">
        <v>92</v>
      </c>
      <c r="P36" s="355" t="s">
        <v>404</v>
      </c>
      <c r="Q36" s="141" t="s">
        <v>416</v>
      </c>
      <c r="R36" s="141" t="s">
        <v>82</v>
      </c>
      <c r="S36" s="141" t="s">
        <v>83</v>
      </c>
      <c r="T36" s="141" t="s">
        <v>84</v>
      </c>
      <c r="U36" s="354" t="s">
        <v>92</v>
      </c>
    </row>
    <row r="37" spans="1:21" x14ac:dyDescent="0.35">
      <c r="A37" s="356"/>
      <c r="B37" s="139" t="s">
        <v>77</v>
      </c>
      <c r="C37" s="138">
        <v>20</v>
      </c>
      <c r="D37" s="138">
        <v>2</v>
      </c>
      <c r="E37" s="138">
        <v>1</v>
      </c>
      <c r="F37" s="138">
        <v>6</v>
      </c>
      <c r="G37" s="138" t="s">
        <v>455</v>
      </c>
      <c r="I37" s="139" t="s">
        <v>77</v>
      </c>
      <c r="J37" s="142" t="s">
        <v>455</v>
      </c>
      <c r="K37" s="142">
        <v>4</v>
      </c>
      <c r="L37" s="142" t="s">
        <v>455</v>
      </c>
      <c r="M37" s="142">
        <v>2</v>
      </c>
      <c r="N37" s="142">
        <v>4</v>
      </c>
      <c r="P37" s="139" t="s">
        <v>77</v>
      </c>
      <c r="Q37" s="143" t="s">
        <v>455</v>
      </c>
      <c r="R37" s="143">
        <v>3</v>
      </c>
      <c r="S37" s="143" t="s">
        <v>455</v>
      </c>
      <c r="T37" s="143">
        <v>3</v>
      </c>
      <c r="U37" s="143">
        <v>8</v>
      </c>
    </row>
    <row r="38" spans="1:21" x14ac:dyDescent="0.35">
      <c r="A38" s="356"/>
      <c r="B38" s="139" t="s">
        <v>391</v>
      </c>
      <c r="C38" s="138">
        <v>20</v>
      </c>
      <c r="D38" s="138">
        <v>2</v>
      </c>
      <c r="E38" s="138">
        <v>1</v>
      </c>
      <c r="F38" s="138">
        <v>6</v>
      </c>
      <c r="G38" s="138" t="s">
        <v>455</v>
      </c>
      <c r="I38" s="139" t="s">
        <v>391</v>
      </c>
      <c r="J38" s="142" t="s">
        <v>455</v>
      </c>
      <c r="K38" s="142">
        <v>4</v>
      </c>
      <c r="L38" s="142" t="s">
        <v>455</v>
      </c>
      <c r="M38" s="142">
        <v>1</v>
      </c>
      <c r="N38" s="142">
        <v>4</v>
      </c>
      <c r="P38" s="139" t="s">
        <v>391</v>
      </c>
      <c r="Q38" s="143" t="s">
        <v>455</v>
      </c>
      <c r="R38" s="143">
        <v>3</v>
      </c>
      <c r="S38" s="143" t="s">
        <v>455</v>
      </c>
      <c r="T38" s="143">
        <v>3</v>
      </c>
      <c r="U38" s="143">
        <v>8</v>
      </c>
    </row>
    <row r="39" spans="1:21" x14ac:dyDescent="0.35">
      <c r="A39" s="356"/>
      <c r="B39" s="139" t="s">
        <v>184</v>
      </c>
      <c r="C39" s="138">
        <v>16</v>
      </c>
      <c r="D39" s="138">
        <v>1</v>
      </c>
      <c r="E39" s="138" t="s">
        <v>455</v>
      </c>
      <c r="F39" s="138">
        <v>5</v>
      </c>
      <c r="G39" s="138" t="s">
        <v>455</v>
      </c>
      <c r="I39" s="139" t="s">
        <v>184</v>
      </c>
      <c r="J39" s="142" t="s">
        <v>455</v>
      </c>
      <c r="K39" s="142">
        <v>2</v>
      </c>
      <c r="L39" s="142" t="s">
        <v>455</v>
      </c>
      <c r="M39" s="142">
        <v>1</v>
      </c>
      <c r="N39" s="142">
        <v>3</v>
      </c>
      <c r="P39" s="139" t="s">
        <v>184</v>
      </c>
      <c r="Q39" s="143" t="s">
        <v>455</v>
      </c>
      <c r="R39" s="143">
        <v>2</v>
      </c>
      <c r="S39" s="143" t="s">
        <v>455</v>
      </c>
      <c r="T39" s="143">
        <v>1</v>
      </c>
      <c r="U39" s="143">
        <v>6</v>
      </c>
    </row>
    <row r="40" spans="1:21" x14ac:dyDescent="0.35">
      <c r="A40" s="356"/>
      <c r="B40" s="139" t="s">
        <v>183</v>
      </c>
      <c r="C40" s="138">
        <v>16</v>
      </c>
      <c r="D40" s="138">
        <v>1</v>
      </c>
      <c r="E40" s="138" t="s">
        <v>455</v>
      </c>
      <c r="F40" s="138">
        <v>5</v>
      </c>
      <c r="G40" s="138" t="s">
        <v>455</v>
      </c>
      <c r="I40" s="139" t="s">
        <v>183</v>
      </c>
      <c r="J40" s="142" t="s">
        <v>455</v>
      </c>
      <c r="K40" s="142">
        <v>2</v>
      </c>
      <c r="L40" s="142" t="s">
        <v>455</v>
      </c>
      <c r="M40" s="142">
        <v>1</v>
      </c>
      <c r="N40" s="142">
        <v>1</v>
      </c>
      <c r="P40" s="139" t="s">
        <v>183</v>
      </c>
      <c r="Q40" s="143" t="s">
        <v>455</v>
      </c>
      <c r="R40" s="143">
        <v>2</v>
      </c>
      <c r="S40" s="143" t="s">
        <v>455</v>
      </c>
      <c r="T40" s="143">
        <v>1</v>
      </c>
      <c r="U40" s="143">
        <v>6</v>
      </c>
    </row>
    <row r="41" spans="1:21" x14ac:dyDescent="0.35">
      <c r="A41" s="356"/>
      <c r="B41" s="139" t="s">
        <v>94</v>
      </c>
      <c r="C41" s="138">
        <v>12</v>
      </c>
      <c r="D41" s="138">
        <v>1</v>
      </c>
      <c r="E41" s="138" t="s">
        <v>455</v>
      </c>
      <c r="F41" s="138">
        <v>4</v>
      </c>
      <c r="G41" s="138" t="s">
        <v>455</v>
      </c>
      <c r="I41" s="139" t="s">
        <v>94</v>
      </c>
      <c r="J41" s="142" t="s">
        <v>455</v>
      </c>
      <c r="K41" s="142">
        <v>1</v>
      </c>
      <c r="L41" s="142" t="s">
        <v>455</v>
      </c>
      <c r="M41" s="142">
        <v>1</v>
      </c>
      <c r="N41" s="142">
        <v>1</v>
      </c>
      <c r="P41" s="139" t="s">
        <v>94</v>
      </c>
      <c r="Q41" s="143" t="s">
        <v>455</v>
      </c>
      <c r="R41" s="143">
        <v>2</v>
      </c>
      <c r="S41" s="143" t="s">
        <v>455</v>
      </c>
      <c r="T41" s="143">
        <v>1</v>
      </c>
      <c r="U41" s="143">
        <v>1</v>
      </c>
    </row>
    <row r="42" spans="1:21" x14ac:dyDescent="0.35">
      <c r="A42" s="356"/>
      <c r="B42" s="139" t="s">
        <v>387</v>
      </c>
      <c r="C42" s="138">
        <v>12</v>
      </c>
      <c r="D42" s="138">
        <v>1</v>
      </c>
      <c r="E42" s="138" t="s">
        <v>455</v>
      </c>
      <c r="F42" s="138">
        <v>4</v>
      </c>
      <c r="G42" s="138" t="s">
        <v>455</v>
      </c>
      <c r="I42" s="139" t="s">
        <v>387</v>
      </c>
      <c r="J42" s="142" t="s">
        <v>455</v>
      </c>
      <c r="K42" s="142">
        <v>1</v>
      </c>
      <c r="L42" s="142" t="s">
        <v>455</v>
      </c>
      <c r="M42" s="142">
        <v>1</v>
      </c>
      <c r="N42" s="142">
        <v>1</v>
      </c>
      <c r="P42" s="139" t="s">
        <v>387</v>
      </c>
      <c r="Q42" s="143" t="s">
        <v>455</v>
      </c>
      <c r="R42" s="143">
        <v>2</v>
      </c>
      <c r="S42" s="143" t="s">
        <v>455</v>
      </c>
      <c r="T42" s="143" t="s">
        <v>455</v>
      </c>
      <c r="U42" s="143">
        <v>2</v>
      </c>
    </row>
    <row r="43" spans="1:21" x14ac:dyDescent="0.35">
      <c r="A43" s="356"/>
      <c r="B43" s="139" t="s">
        <v>182</v>
      </c>
      <c r="C43" s="138">
        <v>12</v>
      </c>
      <c r="D43" s="138">
        <v>1</v>
      </c>
      <c r="E43" s="138" t="s">
        <v>455</v>
      </c>
      <c r="F43" s="138">
        <v>4</v>
      </c>
      <c r="G43" s="138" t="s">
        <v>455</v>
      </c>
      <c r="I43" s="139" t="s">
        <v>182</v>
      </c>
      <c r="J43" s="142" t="s">
        <v>455</v>
      </c>
      <c r="K43" s="142">
        <v>1</v>
      </c>
      <c r="L43" s="142" t="s">
        <v>455</v>
      </c>
      <c r="M43" s="142">
        <v>1</v>
      </c>
      <c r="N43" s="142">
        <v>1</v>
      </c>
      <c r="P43" s="139" t="s">
        <v>182</v>
      </c>
      <c r="Q43" s="143" t="s">
        <v>455</v>
      </c>
      <c r="R43" s="143" t="s">
        <v>455</v>
      </c>
      <c r="S43" s="143" t="s">
        <v>455</v>
      </c>
      <c r="T43" s="143" t="s">
        <v>455</v>
      </c>
      <c r="U43" s="143">
        <v>2</v>
      </c>
    </row>
    <row r="44" spans="1:21" x14ac:dyDescent="0.35">
      <c r="A44" s="356"/>
      <c r="B44" s="139" t="s">
        <v>375</v>
      </c>
      <c r="C44" s="138">
        <v>12</v>
      </c>
      <c r="D44" s="138">
        <v>1</v>
      </c>
      <c r="E44" s="138" t="s">
        <v>455</v>
      </c>
      <c r="F44" s="138">
        <v>4</v>
      </c>
      <c r="G44" s="138" t="s">
        <v>455</v>
      </c>
      <c r="I44" s="139" t="s">
        <v>375</v>
      </c>
      <c r="J44" s="142" t="s">
        <v>455</v>
      </c>
      <c r="K44" s="142" t="s">
        <v>455</v>
      </c>
      <c r="L44" s="142" t="s">
        <v>455</v>
      </c>
      <c r="M44" s="142" t="s">
        <v>455</v>
      </c>
      <c r="N44" s="142" t="s">
        <v>455</v>
      </c>
      <c r="P44" s="139" t="s">
        <v>375</v>
      </c>
      <c r="Q44" s="143" t="s">
        <v>455</v>
      </c>
      <c r="R44" s="143" t="s">
        <v>455</v>
      </c>
      <c r="S44" s="143" t="s">
        <v>455</v>
      </c>
      <c r="T44" s="143" t="s">
        <v>455</v>
      </c>
      <c r="U44" s="143" t="s">
        <v>455</v>
      </c>
    </row>
    <row r="45" spans="1:21" x14ac:dyDescent="0.35">
      <c r="A45" s="357"/>
      <c r="B45" s="139" t="s">
        <v>181</v>
      </c>
      <c r="C45" s="138">
        <v>12</v>
      </c>
      <c r="D45" s="138">
        <v>1</v>
      </c>
      <c r="E45" s="138" t="s">
        <v>455</v>
      </c>
      <c r="F45" s="138">
        <v>4</v>
      </c>
      <c r="G45" s="138" t="s">
        <v>455</v>
      </c>
      <c r="I45" s="139" t="s">
        <v>181</v>
      </c>
      <c r="J45" s="142" t="s">
        <v>455</v>
      </c>
      <c r="K45" s="142">
        <v>1</v>
      </c>
      <c r="L45" s="142" t="s">
        <v>455</v>
      </c>
      <c r="M45" s="142">
        <v>1</v>
      </c>
      <c r="N45" s="142">
        <v>1</v>
      </c>
      <c r="P45" s="139" t="s">
        <v>181</v>
      </c>
      <c r="Q45" s="143" t="s">
        <v>455</v>
      </c>
      <c r="R45" s="143" t="s">
        <v>455</v>
      </c>
      <c r="S45" s="143" t="s">
        <v>455</v>
      </c>
      <c r="T45" s="143" t="s">
        <v>455</v>
      </c>
      <c r="U45" s="143">
        <v>2</v>
      </c>
    </row>
    <row r="46" spans="1:21" x14ac:dyDescent="0.35">
      <c r="A46" s="357"/>
      <c r="B46" s="139" t="s">
        <v>86</v>
      </c>
      <c r="C46" s="138">
        <v>12</v>
      </c>
      <c r="D46" s="138">
        <v>1</v>
      </c>
      <c r="E46" s="138" t="s">
        <v>455</v>
      </c>
      <c r="F46" s="138">
        <v>2</v>
      </c>
      <c r="G46" s="138" t="s">
        <v>455</v>
      </c>
      <c r="I46" s="139" t="s">
        <v>86</v>
      </c>
      <c r="J46" s="142" t="s">
        <v>455</v>
      </c>
      <c r="K46" s="142">
        <v>1</v>
      </c>
      <c r="L46" s="142" t="s">
        <v>455</v>
      </c>
      <c r="M46" s="142" t="s">
        <v>455</v>
      </c>
      <c r="N46" s="142" t="s">
        <v>455</v>
      </c>
      <c r="P46" s="139" t="s">
        <v>86</v>
      </c>
      <c r="Q46" s="143" t="s">
        <v>455</v>
      </c>
      <c r="R46" s="143" t="s">
        <v>455</v>
      </c>
      <c r="S46" s="143" t="s">
        <v>455</v>
      </c>
      <c r="T46" s="143" t="s">
        <v>455</v>
      </c>
      <c r="U46" s="143">
        <v>2</v>
      </c>
    </row>
    <row r="47" spans="1:21" x14ac:dyDescent="0.35">
      <c r="B47" s="139" t="s">
        <v>376</v>
      </c>
      <c r="C47" s="138">
        <v>4</v>
      </c>
      <c r="D47" s="138" t="s">
        <v>455</v>
      </c>
      <c r="E47" s="138" t="s">
        <v>455</v>
      </c>
      <c r="F47" s="138">
        <v>1</v>
      </c>
      <c r="G47" s="138" t="s">
        <v>455</v>
      </c>
      <c r="I47" s="139" t="s">
        <v>376</v>
      </c>
      <c r="J47" s="142" t="s">
        <v>455</v>
      </c>
      <c r="K47" s="142" t="s">
        <v>455</v>
      </c>
      <c r="L47" s="142">
        <v>1</v>
      </c>
      <c r="M47" s="142" t="s">
        <v>455</v>
      </c>
      <c r="N47" s="142" t="s">
        <v>455</v>
      </c>
      <c r="P47" s="139" t="s">
        <v>376</v>
      </c>
      <c r="Q47" s="143" t="s">
        <v>455</v>
      </c>
      <c r="R47" s="143" t="s">
        <v>455</v>
      </c>
      <c r="S47" s="143" t="s">
        <v>455</v>
      </c>
      <c r="T47" s="143" t="s">
        <v>455</v>
      </c>
      <c r="U47" s="143">
        <v>2</v>
      </c>
    </row>
    <row r="48" spans="1:21" x14ac:dyDescent="0.35">
      <c r="B48" s="139" t="s">
        <v>88</v>
      </c>
      <c r="C48" s="138">
        <v>1</v>
      </c>
      <c r="D48" s="138" t="s">
        <v>455</v>
      </c>
      <c r="E48" s="138" t="s">
        <v>455</v>
      </c>
      <c r="F48" s="138">
        <v>1</v>
      </c>
      <c r="G48" s="138" t="s">
        <v>455</v>
      </c>
      <c r="I48" s="139" t="s">
        <v>88</v>
      </c>
      <c r="J48" s="142" t="s">
        <v>455</v>
      </c>
      <c r="K48" s="142" t="s">
        <v>455</v>
      </c>
      <c r="L48" s="142" t="s">
        <v>455</v>
      </c>
      <c r="M48" s="142" t="s">
        <v>455</v>
      </c>
      <c r="N48" s="142" t="s">
        <v>455</v>
      </c>
      <c r="P48" s="139" t="s">
        <v>88</v>
      </c>
      <c r="Q48" s="143" t="s">
        <v>455</v>
      </c>
      <c r="R48" s="143" t="s">
        <v>455</v>
      </c>
      <c r="S48" s="143" t="s">
        <v>455</v>
      </c>
      <c r="T48" s="143" t="s">
        <v>455</v>
      </c>
      <c r="U48" s="143">
        <v>2</v>
      </c>
    </row>
    <row r="49" spans="1:21" x14ac:dyDescent="0.35">
      <c r="A49" s="358"/>
      <c r="B49" s="139" t="s">
        <v>426</v>
      </c>
      <c r="C49" s="138">
        <v>2</v>
      </c>
      <c r="D49" s="138" t="s">
        <v>455</v>
      </c>
      <c r="E49" s="138" t="s">
        <v>455</v>
      </c>
      <c r="F49" s="138">
        <v>1</v>
      </c>
      <c r="G49" s="138" t="s">
        <v>455</v>
      </c>
      <c r="I49" s="139" t="s">
        <v>426</v>
      </c>
      <c r="J49" s="142" t="s">
        <v>455</v>
      </c>
      <c r="K49" s="142" t="s">
        <v>455</v>
      </c>
      <c r="L49" s="142" t="s">
        <v>455</v>
      </c>
      <c r="M49" s="142" t="s">
        <v>455</v>
      </c>
      <c r="N49" s="142" t="s">
        <v>455</v>
      </c>
      <c r="P49" s="139" t="s">
        <v>426</v>
      </c>
      <c r="Q49" s="143" t="s">
        <v>455</v>
      </c>
      <c r="R49" s="143" t="s">
        <v>455</v>
      </c>
      <c r="S49" s="143" t="s">
        <v>455</v>
      </c>
      <c r="T49" s="143" t="s">
        <v>455</v>
      </c>
      <c r="U49" s="143" t="s">
        <v>455</v>
      </c>
    </row>
    <row r="52" spans="1:21" x14ac:dyDescent="0.35">
      <c r="A52" s="375" t="s">
        <v>418</v>
      </c>
    </row>
    <row r="55" spans="1:21" ht="65.5" x14ac:dyDescent="0.35">
      <c r="C55" s="376" t="s">
        <v>419</v>
      </c>
      <c r="D55" s="376" t="s">
        <v>420</v>
      </c>
      <c r="E55" s="376" t="s">
        <v>421</v>
      </c>
      <c r="F55" s="376" t="s">
        <v>422</v>
      </c>
      <c r="G55" s="376" t="s">
        <v>423</v>
      </c>
      <c r="H55" s="376" t="s">
        <v>424</v>
      </c>
    </row>
    <row r="56" spans="1:21" x14ac:dyDescent="0.35">
      <c r="B56" s="139" t="s">
        <v>77</v>
      </c>
      <c r="C56" s="377">
        <v>225</v>
      </c>
      <c r="D56" s="377">
        <v>100</v>
      </c>
      <c r="E56" s="377">
        <v>25</v>
      </c>
      <c r="F56" s="377">
        <v>6230</v>
      </c>
      <c r="G56" s="377">
        <v>200</v>
      </c>
      <c r="H56" s="377">
        <v>6780</v>
      </c>
    </row>
    <row r="57" spans="1:21" x14ac:dyDescent="0.35">
      <c r="B57" s="139" t="s">
        <v>391</v>
      </c>
      <c r="C57" s="377">
        <v>225</v>
      </c>
      <c r="D57" s="377">
        <v>100</v>
      </c>
      <c r="E57" s="377">
        <v>25</v>
      </c>
      <c r="F57" s="377">
        <v>6230</v>
      </c>
      <c r="G57" s="377">
        <v>200</v>
      </c>
      <c r="H57" s="377">
        <v>6780</v>
      </c>
    </row>
    <row r="58" spans="1:21" x14ac:dyDescent="0.35">
      <c r="B58" s="139" t="s">
        <v>184</v>
      </c>
      <c r="C58" s="377">
        <v>150</v>
      </c>
      <c r="D58" s="377">
        <v>95</v>
      </c>
      <c r="E58" s="377">
        <v>25</v>
      </c>
      <c r="F58" s="377">
        <v>4288</v>
      </c>
      <c r="G58" s="377">
        <v>100</v>
      </c>
      <c r="H58" s="377">
        <v>4658</v>
      </c>
    </row>
    <row r="59" spans="1:21" x14ac:dyDescent="0.35">
      <c r="B59" s="139" t="s">
        <v>183</v>
      </c>
      <c r="C59" s="377">
        <v>150</v>
      </c>
      <c r="D59" s="377">
        <v>95</v>
      </c>
      <c r="E59" s="377">
        <v>25</v>
      </c>
      <c r="F59" s="377">
        <v>4288</v>
      </c>
      <c r="G59" s="377">
        <v>100</v>
      </c>
      <c r="H59" s="377">
        <v>4658</v>
      </c>
    </row>
    <row r="60" spans="1:21" x14ac:dyDescent="0.35">
      <c r="B60" s="139" t="s">
        <v>94</v>
      </c>
      <c r="C60" s="377">
        <v>100</v>
      </c>
      <c r="D60" s="377">
        <v>80</v>
      </c>
      <c r="E60" s="377">
        <v>20</v>
      </c>
      <c r="F60" s="377">
        <v>2171</v>
      </c>
      <c r="G60" s="377">
        <v>85</v>
      </c>
      <c r="H60" s="377">
        <v>2433</v>
      </c>
    </row>
    <row r="61" spans="1:21" x14ac:dyDescent="0.35">
      <c r="B61" s="139" t="s">
        <v>387</v>
      </c>
      <c r="C61" s="377">
        <v>100</v>
      </c>
      <c r="D61" s="377">
        <v>80</v>
      </c>
      <c r="E61" s="377">
        <v>20</v>
      </c>
      <c r="F61" s="377">
        <v>2148</v>
      </c>
      <c r="G61" s="377">
        <v>85</v>
      </c>
      <c r="H61" s="377">
        <v>2456</v>
      </c>
    </row>
    <row r="62" spans="1:21" x14ac:dyDescent="0.35">
      <c r="B62" s="139" t="s">
        <v>182</v>
      </c>
      <c r="C62" s="377">
        <v>100</v>
      </c>
      <c r="D62" s="377">
        <v>80</v>
      </c>
      <c r="E62" s="377">
        <v>20</v>
      </c>
      <c r="F62" s="377">
        <v>2131</v>
      </c>
      <c r="G62" s="377">
        <v>85</v>
      </c>
      <c r="H62" s="377">
        <v>2416</v>
      </c>
    </row>
    <row r="63" spans="1:21" x14ac:dyDescent="0.35">
      <c r="B63" s="139" t="s">
        <v>375</v>
      </c>
      <c r="C63" s="377">
        <v>150</v>
      </c>
      <c r="D63" s="377">
        <v>95</v>
      </c>
      <c r="E63" s="377">
        <v>25</v>
      </c>
      <c r="F63" s="377">
        <v>2160</v>
      </c>
      <c r="G63" s="377">
        <v>85</v>
      </c>
      <c r="H63" s="377">
        <v>2515</v>
      </c>
    </row>
    <row r="64" spans="1:21" x14ac:dyDescent="0.35">
      <c r="B64" s="139" t="s">
        <v>181</v>
      </c>
      <c r="C64" s="377">
        <v>100</v>
      </c>
      <c r="D64" s="377">
        <v>80</v>
      </c>
      <c r="E64" s="377">
        <v>20</v>
      </c>
      <c r="F64" s="377">
        <v>1370</v>
      </c>
      <c r="G64" s="377">
        <v>0</v>
      </c>
      <c r="H64" s="377">
        <v>1570</v>
      </c>
    </row>
    <row r="65" spans="2:10" x14ac:dyDescent="0.35">
      <c r="B65" s="139" t="s">
        <v>86</v>
      </c>
      <c r="C65" s="377">
        <v>60</v>
      </c>
      <c r="D65" s="377">
        <v>60</v>
      </c>
      <c r="E65" s="377">
        <v>15</v>
      </c>
      <c r="F65" s="377">
        <v>689</v>
      </c>
      <c r="G65" s="377">
        <v>0</v>
      </c>
      <c r="H65" s="377">
        <v>824</v>
      </c>
    </row>
    <row r="66" spans="2:10" x14ac:dyDescent="0.35">
      <c r="B66" s="139" t="s">
        <v>376</v>
      </c>
      <c r="C66" s="377">
        <v>24</v>
      </c>
      <c r="D66" s="377">
        <v>10</v>
      </c>
      <c r="E66" s="377">
        <v>10</v>
      </c>
      <c r="F66" s="377">
        <v>253</v>
      </c>
      <c r="G66" s="377">
        <v>0</v>
      </c>
      <c r="H66" s="377">
        <v>297</v>
      </c>
    </row>
    <row r="67" spans="2:10" x14ac:dyDescent="0.35">
      <c r="B67" s="139" t="s">
        <v>88</v>
      </c>
      <c r="C67" s="377">
        <v>24</v>
      </c>
      <c r="D67" s="377">
        <v>10</v>
      </c>
      <c r="E67" s="377">
        <v>10</v>
      </c>
      <c r="F67" s="377">
        <v>248</v>
      </c>
      <c r="G67" s="377">
        <v>0</v>
      </c>
      <c r="H67" s="377">
        <v>292</v>
      </c>
    </row>
    <row r="68" spans="2:10" x14ac:dyDescent="0.35">
      <c r="B68" s="139" t="s">
        <v>426</v>
      </c>
      <c r="C68" s="377">
        <v>24</v>
      </c>
      <c r="D68" s="377">
        <v>10</v>
      </c>
      <c r="E68" s="377">
        <v>10</v>
      </c>
      <c r="F68" s="377">
        <v>221</v>
      </c>
      <c r="G68" s="377">
        <v>0</v>
      </c>
      <c r="H68" s="377">
        <v>265</v>
      </c>
    </row>
    <row r="77" spans="2:10" x14ac:dyDescent="0.35">
      <c r="D77" s="1"/>
      <c r="E77" s="378"/>
      <c r="F77" s="378"/>
      <c r="G77" s="378"/>
      <c r="H77" s="378"/>
      <c r="I77" s="378"/>
      <c r="J77" s="378"/>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34" t="s">
        <v>95</v>
      </c>
      <c r="B1" s="634"/>
      <c r="C1" s="634"/>
      <c r="D1" s="634"/>
      <c r="E1" s="634"/>
      <c r="F1" s="634"/>
      <c r="G1" s="634"/>
      <c r="H1" s="634"/>
      <c r="I1" s="634"/>
      <c r="J1" s="634"/>
      <c r="K1" s="634"/>
      <c r="L1" s="634"/>
      <c r="M1" s="634"/>
      <c r="N1" s="634"/>
      <c r="O1" s="634"/>
      <c r="P1" s="634"/>
      <c r="Q1" s="634"/>
      <c r="R1" s="634"/>
    </row>
    <row r="2" spans="1:18" x14ac:dyDescent="0.35">
      <c r="A2" s="634"/>
      <c r="B2" s="634"/>
      <c r="C2" s="634"/>
      <c r="D2" s="634"/>
      <c r="E2" s="634"/>
      <c r="F2" s="634"/>
      <c r="G2" s="634"/>
      <c r="H2" s="634"/>
      <c r="I2" s="634"/>
      <c r="J2" s="634"/>
      <c r="K2" s="634"/>
      <c r="L2" s="634"/>
      <c r="M2" s="634"/>
      <c r="N2" s="634"/>
      <c r="O2" s="634"/>
      <c r="P2" s="634"/>
      <c r="Q2" s="634"/>
      <c r="R2" s="634"/>
    </row>
    <row r="3" spans="1:18" x14ac:dyDescent="0.35">
      <c r="A3" s="634"/>
      <c r="B3" s="634"/>
      <c r="C3" s="634"/>
      <c r="D3" s="634"/>
      <c r="E3" s="634"/>
      <c r="F3" s="634"/>
      <c r="G3" s="634"/>
      <c r="H3" s="634"/>
      <c r="I3" s="634"/>
      <c r="J3" s="634"/>
      <c r="K3" s="634"/>
      <c r="L3" s="634"/>
      <c r="M3" s="634"/>
      <c r="N3" s="634"/>
      <c r="O3" s="634"/>
      <c r="P3" s="634"/>
      <c r="Q3" s="634"/>
      <c r="R3" s="634"/>
    </row>
    <row r="4" spans="1:18" x14ac:dyDescent="0.35">
      <c r="A4" s="634"/>
      <c r="B4" s="634"/>
      <c r="C4" s="634"/>
      <c r="D4" s="634"/>
      <c r="E4" s="634"/>
      <c r="F4" s="634"/>
      <c r="G4" s="634"/>
      <c r="H4" s="634"/>
      <c r="I4" s="634"/>
      <c r="J4" s="634"/>
      <c r="K4" s="634"/>
      <c r="L4" s="634"/>
      <c r="M4" s="634"/>
      <c r="N4" s="634"/>
      <c r="O4" s="634"/>
      <c r="P4" s="634"/>
      <c r="Q4" s="634"/>
      <c r="R4" s="634"/>
    </row>
    <row r="5" spans="1:18" x14ac:dyDescent="0.35">
      <c r="A5" s="634"/>
      <c r="B5" s="634"/>
      <c r="C5" s="634"/>
      <c r="D5" s="634"/>
      <c r="E5" s="634"/>
      <c r="F5" s="634"/>
      <c r="G5" s="634"/>
      <c r="H5" s="634"/>
      <c r="I5" s="634"/>
      <c r="J5" s="634"/>
      <c r="K5" s="634"/>
      <c r="L5" s="634"/>
      <c r="M5" s="634"/>
      <c r="N5" s="634"/>
      <c r="O5" s="634"/>
      <c r="P5" s="634"/>
      <c r="Q5" s="634"/>
      <c r="R5" s="634"/>
    </row>
    <row r="8" spans="1:18" ht="15.5" x14ac:dyDescent="0.35">
      <c r="B8" s="145" t="s">
        <v>98</v>
      </c>
    </row>
    <row r="9" spans="1:18" ht="65.25" customHeight="1" x14ac:dyDescent="0.35">
      <c r="B9" s="642" t="s">
        <v>99</v>
      </c>
      <c r="C9" s="642"/>
      <c r="D9" s="642"/>
      <c r="E9" s="642"/>
      <c r="F9" s="642"/>
      <c r="G9" s="642"/>
      <c r="H9" s="642"/>
      <c r="I9" s="642"/>
      <c r="J9" s="642"/>
      <c r="K9" s="642"/>
      <c r="L9" s="642"/>
    </row>
    <row r="29" spans="2:11" x14ac:dyDescent="0.35">
      <c r="B29" s="634"/>
      <c r="C29" s="634"/>
      <c r="D29" s="634"/>
      <c r="E29" s="634"/>
      <c r="F29" s="634"/>
      <c r="G29" s="634"/>
      <c r="H29" s="634"/>
      <c r="I29" s="634"/>
      <c r="J29" s="634"/>
      <c r="K29" s="634"/>
    </row>
    <row r="30" spans="2:11" x14ac:dyDescent="0.35">
      <c r="B30" t="s">
        <v>175</v>
      </c>
    </row>
    <row r="31" spans="2:11" x14ac:dyDescent="0.35">
      <c r="D31" t="s">
        <v>89</v>
      </c>
      <c r="F31" t="s">
        <v>102</v>
      </c>
      <c r="H31" t="s">
        <v>104</v>
      </c>
    </row>
    <row r="32" spans="2:11" x14ac:dyDescent="0.35">
      <c r="D32" t="s">
        <v>90</v>
      </c>
      <c r="F32" t="s">
        <v>100</v>
      </c>
    </row>
    <row r="33" spans="2:13" x14ac:dyDescent="0.35">
      <c r="D33" t="s">
        <v>91</v>
      </c>
      <c r="F33" t="s">
        <v>101</v>
      </c>
    </row>
    <row r="34" spans="2:13" x14ac:dyDescent="0.35">
      <c r="F34" t="s">
        <v>103</v>
      </c>
    </row>
    <row r="36" spans="2:13" x14ac:dyDescent="0.35">
      <c r="B36" s="634" t="s">
        <v>105</v>
      </c>
      <c r="C36" s="634"/>
      <c r="D36" s="634"/>
      <c r="E36" s="634"/>
      <c r="F36" s="634"/>
      <c r="G36" s="634"/>
      <c r="H36" s="634"/>
      <c r="I36" s="634"/>
      <c r="J36" s="634"/>
      <c r="K36" s="634"/>
      <c r="L36" s="634"/>
      <c r="M36" s="634"/>
    </row>
    <row r="38" spans="2:13" x14ac:dyDescent="0.35">
      <c r="B38" s="634" t="s">
        <v>106</v>
      </c>
      <c r="C38" s="634"/>
      <c r="D38" s="634"/>
      <c r="E38" s="634"/>
      <c r="F38" s="634"/>
      <c r="G38" s="634"/>
      <c r="H38" s="634"/>
      <c r="I38" s="634"/>
      <c r="J38" s="634"/>
      <c r="K38" s="634"/>
      <c r="L38" s="634"/>
      <c r="M38" s="634"/>
    </row>
    <row r="40" spans="2:13" x14ac:dyDescent="0.35">
      <c r="B40" s="634" t="s">
        <v>107</v>
      </c>
      <c r="C40" s="634"/>
      <c r="D40" s="634"/>
      <c r="E40" s="634"/>
      <c r="F40" s="634"/>
      <c r="G40" s="634"/>
      <c r="H40" s="634"/>
      <c r="I40" s="634"/>
      <c r="J40" s="634"/>
      <c r="K40" s="634"/>
      <c r="L40" s="634"/>
      <c r="M40" s="634"/>
    </row>
    <row r="42" spans="2:13" x14ac:dyDescent="0.35">
      <c r="B42" s="634" t="s">
        <v>108</v>
      </c>
      <c r="C42" s="634"/>
      <c r="D42" s="634"/>
      <c r="E42" s="634"/>
      <c r="F42" s="634"/>
      <c r="G42" s="634"/>
      <c r="H42" s="634"/>
      <c r="I42" s="634"/>
      <c r="J42" s="634"/>
    </row>
    <row r="47" spans="2:13" ht="18.5" x14ac:dyDescent="0.45">
      <c r="B47" s="347" t="s">
        <v>390</v>
      </c>
      <c r="C47" s="39"/>
    </row>
    <row r="48" spans="2:13" ht="15" thickBot="1" x14ac:dyDescent="0.4"/>
    <row r="49" spans="1:22" x14ac:dyDescent="0.35">
      <c r="A49" s="349" t="s">
        <v>80</v>
      </c>
      <c r="B49" s="350" t="s">
        <v>390</v>
      </c>
      <c r="C49" s="350"/>
      <c r="D49" s="350"/>
      <c r="E49" s="350"/>
      <c r="F49" s="370"/>
      <c r="G49" s="1"/>
      <c r="H49" s="1"/>
      <c r="K49" s="349" t="s">
        <v>392</v>
      </c>
      <c r="L49" s="350"/>
      <c r="M49" s="350"/>
      <c r="N49" s="350"/>
      <c r="O49" s="370"/>
      <c r="P49" s="356"/>
      <c r="R49" s="352" t="s">
        <v>81</v>
      </c>
      <c r="S49" s="350"/>
      <c r="T49" s="350"/>
      <c r="U49" s="350"/>
      <c r="V49" s="370"/>
    </row>
    <row r="50" spans="1:22" ht="26" x14ac:dyDescent="0.35">
      <c r="A50" s="353" t="s">
        <v>393</v>
      </c>
      <c r="B50" s="141" t="s">
        <v>405</v>
      </c>
      <c r="C50" s="141" t="s">
        <v>82</v>
      </c>
      <c r="D50" s="141" t="s">
        <v>96</v>
      </c>
      <c r="E50" s="141" t="s">
        <v>97</v>
      </c>
      <c r="F50" s="141" t="s">
        <v>79</v>
      </c>
      <c r="K50" s="141" t="s">
        <v>406</v>
      </c>
      <c r="L50" s="141" t="s">
        <v>82</v>
      </c>
      <c r="M50" s="141" t="s">
        <v>96</v>
      </c>
      <c r="N50" s="141" t="s">
        <v>97</v>
      </c>
      <c r="O50" s="141" t="s">
        <v>79</v>
      </c>
      <c r="R50" s="141" t="s">
        <v>407</v>
      </c>
      <c r="S50" s="141" t="s">
        <v>82</v>
      </c>
      <c r="T50" s="141" t="s">
        <v>96</v>
      </c>
      <c r="U50" s="141" t="s">
        <v>97</v>
      </c>
      <c r="V50" s="141" t="s">
        <v>79</v>
      </c>
    </row>
    <row r="51" spans="1:22" x14ac:dyDescent="0.35">
      <c r="B51" s="139" t="s">
        <v>77</v>
      </c>
      <c r="C51" s="138">
        <v>30</v>
      </c>
      <c r="D51" s="138">
        <v>1</v>
      </c>
      <c r="E51" s="138">
        <v>4</v>
      </c>
      <c r="F51" s="138">
        <v>150</v>
      </c>
      <c r="K51" s="139" t="s">
        <v>77</v>
      </c>
      <c r="L51" s="142">
        <v>12</v>
      </c>
      <c r="M51" s="142">
        <v>1</v>
      </c>
      <c r="N51" s="142">
        <v>6</v>
      </c>
      <c r="O51" s="142">
        <v>60</v>
      </c>
      <c r="R51" s="139" t="s">
        <v>77</v>
      </c>
      <c r="S51" s="143">
        <v>2</v>
      </c>
      <c r="T51" s="143">
        <v>2</v>
      </c>
      <c r="U51" s="143">
        <v>5</v>
      </c>
      <c r="V51" s="143">
        <v>50</v>
      </c>
    </row>
    <row r="52" spans="1:22" x14ac:dyDescent="0.35">
      <c r="A52" s="367"/>
      <c r="B52" s="139" t="s">
        <v>391</v>
      </c>
      <c r="C52" s="138">
        <v>30</v>
      </c>
      <c r="D52" s="138">
        <v>1</v>
      </c>
      <c r="E52" s="138">
        <v>4</v>
      </c>
      <c r="F52" s="138">
        <v>150</v>
      </c>
      <c r="K52" s="139" t="s">
        <v>391</v>
      </c>
      <c r="L52" s="142">
        <v>12</v>
      </c>
      <c r="M52" s="142">
        <v>1</v>
      </c>
      <c r="N52" s="142">
        <v>6</v>
      </c>
      <c r="O52" s="142">
        <v>60</v>
      </c>
      <c r="R52" s="139" t="s">
        <v>391</v>
      </c>
      <c r="S52" s="143">
        <v>2</v>
      </c>
      <c r="T52" s="143">
        <v>2</v>
      </c>
      <c r="U52" s="143">
        <v>5</v>
      </c>
      <c r="V52" s="143">
        <v>50</v>
      </c>
    </row>
    <row r="53" spans="1:22" x14ac:dyDescent="0.35">
      <c r="A53" s="367"/>
      <c r="B53" s="139" t="s">
        <v>184</v>
      </c>
      <c r="C53" s="138">
        <v>20</v>
      </c>
      <c r="D53" s="138">
        <v>1</v>
      </c>
      <c r="E53" s="138">
        <v>3</v>
      </c>
      <c r="F53" s="138">
        <v>120</v>
      </c>
      <c r="K53" s="139" t="s">
        <v>184</v>
      </c>
      <c r="L53" s="142">
        <v>10</v>
      </c>
      <c r="M53" s="142">
        <v>1</v>
      </c>
      <c r="N53" s="142">
        <v>3</v>
      </c>
      <c r="O53" s="142">
        <v>48</v>
      </c>
      <c r="R53" s="139" t="s">
        <v>184</v>
      </c>
      <c r="S53" s="143">
        <v>2</v>
      </c>
      <c r="T53" s="143">
        <v>2</v>
      </c>
      <c r="U53" s="143">
        <v>3</v>
      </c>
      <c r="V53" s="143">
        <v>40</v>
      </c>
    </row>
    <row r="54" spans="1:22" x14ac:dyDescent="0.35">
      <c r="A54" s="367"/>
      <c r="B54" s="139" t="s">
        <v>183</v>
      </c>
      <c r="C54" s="138">
        <v>20</v>
      </c>
      <c r="D54" s="138">
        <v>1</v>
      </c>
      <c r="E54" s="138">
        <v>3</v>
      </c>
      <c r="F54" s="138">
        <v>120</v>
      </c>
      <c r="K54" s="139" t="s">
        <v>183</v>
      </c>
      <c r="L54" s="142">
        <v>10</v>
      </c>
      <c r="M54" s="142">
        <v>1</v>
      </c>
      <c r="N54" s="142">
        <v>3</v>
      </c>
      <c r="O54" s="142">
        <v>48</v>
      </c>
      <c r="R54" s="139" t="s">
        <v>183</v>
      </c>
      <c r="S54" s="143">
        <v>2</v>
      </c>
      <c r="T54" s="143">
        <v>2</v>
      </c>
      <c r="U54" s="143">
        <v>3</v>
      </c>
      <c r="V54" s="143">
        <v>40</v>
      </c>
    </row>
    <row r="55" spans="1:22" x14ac:dyDescent="0.35">
      <c r="A55" s="367"/>
      <c r="B55" s="139" t="s">
        <v>94</v>
      </c>
      <c r="C55" s="138">
        <v>5</v>
      </c>
      <c r="D55" s="138">
        <v>1</v>
      </c>
      <c r="E55" s="138">
        <v>4</v>
      </c>
      <c r="F55" s="138">
        <v>90</v>
      </c>
      <c r="K55" s="139" t="s">
        <v>94</v>
      </c>
      <c r="L55" s="142">
        <v>5</v>
      </c>
      <c r="M55" s="142">
        <v>1</v>
      </c>
      <c r="N55" s="142">
        <v>6</v>
      </c>
      <c r="O55" s="142">
        <v>40</v>
      </c>
      <c r="R55" s="139" t="s">
        <v>94</v>
      </c>
      <c r="S55" s="143">
        <v>2</v>
      </c>
      <c r="T55" s="143">
        <v>2</v>
      </c>
      <c r="U55" s="143">
        <v>3</v>
      </c>
      <c r="V55" s="143">
        <v>40</v>
      </c>
    </row>
    <row r="56" spans="1:22" x14ac:dyDescent="0.35">
      <c r="A56" s="367"/>
      <c r="B56" s="139" t="s">
        <v>387</v>
      </c>
      <c r="C56" s="138">
        <v>5</v>
      </c>
      <c r="D56" s="138">
        <v>1</v>
      </c>
      <c r="E56" s="138">
        <v>4</v>
      </c>
      <c r="F56" s="138">
        <v>90</v>
      </c>
      <c r="K56" s="139" t="s">
        <v>387</v>
      </c>
      <c r="L56" s="142">
        <v>10</v>
      </c>
      <c r="M56" s="142">
        <v>1</v>
      </c>
      <c r="N56" s="142">
        <v>3</v>
      </c>
      <c r="O56" s="142">
        <v>48</v>
      </c>
      <c r="R56" s="139" t="s">
        <v>387</v>
      </c>
      <c r="S56" s="143">
        <v>2</v>
      </c>
      <c r="T56" s="143">
        <v>2</v>
      </c>
      <c r="U56" s="143">
        <v>3</v>
      </c>
      <c r="V56" s="143">
        <v>40</v>
      </c>
    </row>
    <row r="57" spans="1:22" x14ac:dyDescent="0.35">
      <c r="A57" s="367"/>
      <c r="B57" s="139" t="s">
        <v>182</v>
      </c>
      <c r="C57" s="138">
        <v>5</v>
      </c>
      <c r="D57" s="138">
        <v>1</v>
      </c>
      <c r="E57" s="138">
        <v>4</v>
      </c>
      <c r="F57" s="138">
        <v>90</v>
      </c>
      <c r="K57" s="139" t="s">
        <v>182</v>
      </c>
      <c r="L57" s="142">
        <v>4</v>
      </c>
      <c r="M57" s="142">
        <v>1</v>
      </c>
      <c r="N57" s="142">
        <v>6</v>
      </c>
      <c r="O57" s="142">
        <v>30</v>
      </c>
      <c r="R57" s="139" t="s">
        <v>182</v>
      </c>
      <c r="S57" s="143">
        <v>2</v>
      </c>
      <c r="T57" s="143">
        <v>2</v>
      </c>
      <c r="U57" s="143">
        <v>3</v>
      </c>
      <c r="V57" s="143">
        <v>15</v>
      </c>
    </row>
    <row r="58" spans="1:22" x14ac:dyDescent="0.35">
      <c r="A58" s="367"/>
      <c r="B58" s="139" t="s">
        <v>375</v>
      </c>
      <c r="C58" s="138">
        <v>5</v>
      </c>
      <c r="D58" s="138">
        <v>1</v>
      </c>
      <c r="E58" s="138">
        <v>3</v>
      </c>
      <c r="F58" s="138">
        <v>90</v>
      </c>
      <c r="K58" s="139" t="s">
        <v>375</v>
      </c>
      <c r="L58" s="142" t="s">
        <v>455</v>
      </c>
      <c r="M58" s="142" t="s">
        <v>455</v>
      </c>
      <c r="N58" s="142" t="s">
        <v>455</v>
      </c>
      <c r="O58" s="142" t="s">
        <v>455</v>
      </c>
      <c r="R58" s="139" t="s">
        <v>375</v>
      </c>
      <c r="S58" s="143" t="s">
        <v>455</v>
      </c>
      <c r="T58" s="143" t="s">
        <v>455</v>
      </c>
      <c r="U58" s="143" t="s">
        <v>455</v>
      </c>
      <c r="V58" s="143" t="s">
        <v>455</v>
      </c>
    </row>
    <row r="59" spans="1:22" x14ac:dyDescent="0.35">
      <c r="A59" s="367"/>
      <c r="B59" s="139" t="s">
        <v>181</v>
      </c>
      <c r="C59" s="138">
        <v>5</v>
      </c>
      <c r="D59" s="138">
        <v>1</v>
      </c>
      <c r="E59" s="138">
        <v>4</v>
      </c>
      <c r="F59" s="138">
        <v>90</v>
      </c>
      <c r="K59" s="139" t="s">
        <v>181</v>
      </c>
      <c r="L59" s="142">
        <v>4</v>
      </c>
      <c r="M59" s="142">
        <v>1</v>
      </c>
      <c r="N59" s="142">
        <v>6</v>
      </c>
      <c r="O59" s="142">
        <v>30</v>
      </c>
      <c r="R59" s="139" t="s">
        <v>181</v>
      </c>
      <c r="S59" s="143">
        <v>2</v>
      </c>
      <c r="T59" s="143">
        <v>2</v>
      </c>
      <c r="U59" s="143">
        <v>3</v>
      </c>
      <c r="V59" s="143">
        <v>15</v>
      </c>
    </row>
    <row r="60" spans="1:22" x14ac:dyDescent="0.35">
      <c r="A60" s="367"/>
      <c r="B60" s="139" t="s">
        <v>86</v>
      </c>
      <c r="C60" s="138">
        <v>3</v>
      </c>
      <c r="D60" s="138">
        <v>1</v>
      </c>
      <c r="E60" s="138">
        <v>4</v>
      </c>
      <c r="F60" s="138">
        <v>30</v>
      </c>
      <c r="K60" s="139" t="s">
        <v>86</v>
      </c>
      <c r="L60" s="142">
        <v>4</v>
      </c>
      <c r="M60" s="142">
        <v>1</v>
      </c>
      <c r="N60" s="142">
        <v>6</v>
      </c>
      <c r="O60" s="142">
        <v>30</v>
      </c>
      <c r="R60" s="139" t="s">
        <v>86</v>
      </c>
      <c r="S60" s="143">
        <v>2</v>
      </c>
      <c r="T60" s="143">
        <v>2</v>
      </c>
      <c r="U60" s="143">
        <v>3</v>
      </c>
      <c r="V60" s="143">
        <v>10</v>
      </c>
    </row>
    <row r="61" spans="1:22" x14ac:dyDescent="0.35">
      <c r="A61" s="367"/>
      <c r="B61" s="139" t="s">
        <v>376</v>
      </c>
      <c r="C61" s="138">
        <v>3</v>
      </c>
      <c r="D61" s="138">
        <v>1</v>
      </c>
      <c r="E61" s="138">
        <v>4</v>
      </c>
      <c r="F61" s="138">
        <v>30</v>
      </c>
      <c r="K61" s="139" t="s">
        <v>376</v>
      </c>
      <c r="L61" s="142">
        <v>3</v>
      </c>
      <c r="M61" s="142">
        <v>1</v>
      </c>
      <c r="N61" s="142">
        <v>4</v>
      </c>
      <c r="O61" s="142">
        <v>30</v>
      </c>
      <c r="R61" s="139" t="s">
        <v>376</v>
      </c>
      <c r="S61" s="143">
        <v>2</v>
      </c>
      <c r="T61" s="143">
        <v>2</v>
      </c>
      <c r="U61" s="143">
        <v>3</v>
      </c>
      <c r="V61" s="143">
        <v>10</v>
      </c>
    </row>
    <row r="62" spans="1:22" x14ac:dyDescent="0.35">
      <c r="A62" s="367"/>
      <c r="B62" s="139" t="s">
        <v>88</v>
      </c>
      <c r="C62" s="138">
        <v>2</v>
      </c>
      <c r="D62" s="138">
        <v>1</v>
      </c>
      <c r="E62" s="138">
        <v>4</v>
      </c>
      <c r="F62" s="138">
        <v>8</v>
      </c>
      <c r="K62" s="139" t="s">
        <v>88</v>
      </c>
      <c r="L62" s="142">
        <v>2</v>
      </c>
      <c r="M62" s="142">
        <v>1</v>
      </c>
      <c r="N62" s="142">
        <v>4</v>
      </c>
      <c r="O62" s="142">
        <v>8</v>
      </c>
      <c r="R62" s="139" t="s">
        <v>88</v>
      </c>
      <c r="S62" s="143">
        <v>1</v>
      </c>
      <c r="T62" s="143">
        <v>2</v>
      </c>
      <c r="U62" s="143">
        <v>1</v>
      </c>
      <c r="V62" s="143">
        <v>5</v>
      </c>
    </row>
    <row r="63" spans="1:22" x14ac:dyDescent="0.35">
      <c r="A63" s="368"/>
      <c r="B63" s="139" t="s">
        <v>426</v>
      </c>
      <c r="C63" s="138">
        <v>2</v>
      </c>
      <c r="D63" s="138">
        <v>1</v>
      </c>
      <c r="E63" s="138">
        <v>4</v>
      </c>
      <c r="F63" s="138">
        <v>8</v>
      </c>
      <c r="K63" s="139" t="s">
        <v>426</v>
      </c>
      <c r="L63" s="142">
        <v>2</v>
      </c>
      <c r="M63" s="142">
        <v>1</v>
      </c>
      <c r="N63" s="142">
        <v>4</v>
      </c>
      <c r="O63" s="142">
        <v>8</v>
      </c>
      <c r="R63" s="139" t="s">
        <v>426</v>
      </c>
      <c r="S63" s="143">
        <v>2</v>
      </c>
      <c r="T63" s="143">
        <v>1</v>
      </c>
      <c r="U63" s="143">
        <v>1</v>
      </c>
      <c r="V63" s="143">
        <v>1</v>
      </c>
    </row>
    <row r="64" spans="1:22" x14ac:dyDescent="0.35">
      <c r="A64" s="356"/>
    </row>
    <row r="65" spans="1:22" x14ac:dyDescent="0.35">
      <c r="A65" s="356"/>
    </row>
    <row r="66" spans="1:22" x14ac:dyDescent="0.35">
      <c r="A66" s="356"/>
    </row>
    <row r="67" spans="1:22" ht="26" x14ac:dyDescent="0.35">
      <c r="A67" s="353" t="s">
        <v>397</v>
      </c>
      <c r="B67" s="141" t="s">
        <v>408</v>
      </c>
      <c r="C67" s="141" t="s">
        <v>82</v>
      </c>
      <c r="D67" s="141" t="s">
        <v>96</v>
      </c>
      <c r="E67" s="141" t="s">
        <v>97</v>
      </c>
      <c r="F67" s="141" t="s">
        <v>79</v>
      </c>
      <c r="K67" s="141" t="s">
        <v>409</v>
      </c>
      <c r="L67" s="141" t="s">
        <v>82</v>
      </c>
      <c r="M67" s="141" t="s">
        <v>96</v>
      </c>
      <c r="N67" s="141" t="s">
        <v>97</v>
      </c>
      <c r="O67" s="141" t="s">
        <v>79</v>
      </c>
      <c r="R67" s="141" t="s">
        <v>410</v>
      </c>
      <c r="S67" s="141" t="s">
        <v>82</v>
      </c>
      <c r="T67" s="141" t="s">
        <v>96</v>
      </c>
      <c r="U67" s="141" t="s">
        <v>97</v>
      </c>
      <c r="V67" s="141" t="s">
        <v>79</v>
      </c>
    </row>
    <row r="68" spans="1:22" x14ac:dyDescent="0.35">
      <c r="A68" s="356"/>
      <c r="B68" s="139" t="s">
        <v>77</v>
      </c>
      <c r="C68" s="138">
        <v>20</v>
      </c>
      <c r="D68" s="138" t="s">
        <v>455</v>
      </c>
      <c r="E68" s="138">
        <v>3</v>
      </c>
      <c r="F68" s="138">
        <v>120</v>
      </c>
      <c r="K68" s="139" t="s">
        <v>77</v>
      </c>
      <c r="L68" s="142">
        <v>10</v>
      </c>
      <c r="M68" s="142" t="s">
        <v>455</v>
      </c>
      <c r="N68" s="142">
        <v>4</v>
      </c>
      <c r="O68" s="142">
        <v>50</v>
      </c>
      <c r="R68" s="139" t="s">
        <v>77</v>
      </c>
      <c r="S68" s="143">
        <v>1</v>
      </c>
      <c r="T68" s="143">
        <v>1</v>
      </c>
      <c r="U68" s="143">
        <v>3</v>
      </c>
      <c r="V68" s="143">
        <v>40</v>
      </c>
    </row>
    <row r="69" spans="1:22" x14ac:dyDescent="0.35">
      <c r="A69" s="356"/>
      <c r="B69" s="139" t="s">
        <v>391</v>
      </c>
      <c r="C69" s="138">
        <v>20</v>
      </c>
      <c r="D69" s="138" t="s">
        <v>455</v>
      </c>
      <c r="E69" s="138">
        <v>3</v>
      </c>
      <c r="F69" s="138">
        <v>120</v>
      </c>
      <c r="K69" s="139" t="s">
        <v>391</v>
      </c>
      <c r="L69" s="142">
        <v>10</v>
      </c>
      <c r="M69" s="142" t="s">
        <v>455</v>
      </c>
      <c r="N69" s="142">
        <v>4</v>
      </c>
      <c r="O69" s="142">
        <v>50</v>
      </c>
      <c r="R69" s="139" t="s">
        <v>391</v>
      </c>
      <c r="S69" s="143">
        <v>1</v>
      </c>
      <c r="T69" s="143">
        <v>1</v>
      </c>
      <c r="U69" s="143">
        <v>3</v>
      </c>
      <c r="V69" s="143">
        <v>40</v>
      </c>
    </row>
    <row r="70" spans="1:22" x14ac:dyDescent="0.35">
      <c r="A70" s="356"/>
      <c r="B70" s="139" t="s">
        <v>184</v>
      </c>
      <c r="C70" s="138">
        <v>15</v>
      </c>
      <c r="D70" s="138" t="s">
        <v>455</v>
      </c>
      <c r="E70" s="138">
        <v>2</v>
      </c>
      <c r="F70" s="138">
        <v>90</v>
      </c>
      <c r="K70" s="139" t="s">
        <v>184</v>
      </c>
      <c r="L70" s="142">
        <v>8</v>
      </c>
      <c r="M70" s="142" t="s">
        <v>455</v>
      </c>
      <c r="N70" s="142">
        <v>2</v>
      </c>
      <c r="O70" s="142">
        <v>40</v>
      </c>
      <c r="R70" s="139" t="s">
        <v>184</v>
      </c>
      <c r="S70" s="143">
        <v>1</v>
      </c>
      <c r="T70" s="143">
        <v>1</v>
      </c>
      <c r="U70" s="143">
        <v>2</v>
      </c>
      <c r="V70" s="143">
        <v>30</v>
      </c>
    </row>
    <row r="71" spans="1:22" x14ac:dyDescent="0.35">
      <c r="A71" s="356"/>
      <c r="B71" s="139" t="s">
        <v>183</v>
      </c>
      <c r="C71" s="138">
        <v>15</v>
      </c>
      <c r="D71" s="138" t="s">
        <v>455</v>
      </c>
      <c r="E71" s="138">
        <v>2</v>
      </c>
      <c r="F71" s="138">
        <v>90</v>
      </c>
      <c r="K71" s="139" t="s">
        <v>183</v>
      </c>
      <c r="L71" s="142">
        <v>8</v>
      </c>
      <c r="M71" s="142" t="s">
        <v>455</v>
      </c>
      <c r="N71" s="142">
        <v>2</v>
      </c>
      <c r="O71" s="142">
        <v>40</v>
      </c>
      <c r="R71" s="139" t="s">
        <v>183</v>
      </c>
      <c r="S71" s="143">
        <v>1</v>
      </c>
      <c r="T71" s="143">
        <v>1</v>
      </c>
      <c r="U71" s="143">
        <v>2</v>
      </c>
      <c r="V71" s="143">
        <v>30</v>
      </c>
    </row>
    <row r="72" spans="1:22" x14ac:dyDescent="0.35">
      <c r="A72" s="356"/>
      <c r="B72" s="139" t="s">
        <v>94</v>
      </c>
      <c r="C72" s="138">
        <v>4</v>
      </c>
      <c r="D72" s="138" t="s">
        <v>455</v>
      </c>
      <c r="E72" s="138">
        <v>3</v>
      </c>
      <c r="F72" s="138">
        <v>70</v>
      </c>
      <c r="K72" s="139" t="s">
        <v>94</v>
      </c>
      <c r="L72" s="142">
        <v>4</v>
      </c>
      <c r="M72" s="142" t="s">
        <v>455</v>
      </c>
      <c r="N72" s="142">
        <v>2</v>
      </c>
      <c r="O72" s="142">
        <v>35</v>
      </c>
      <c r="R72" s="139" t="s">
        <v>94</v>
      </c>
      <c r="S72" s="143">
        <v>1</v>
      </c>
      <c r="T72" s="143">
        <v>1</v>
      </c>
      <c r="U72" s="143">
        <v>2</v>
      </c>
      <c r="V72" s="143">
        <v>30</v>
      </c>
    </row>
    <row r="73" spans="1:22" x14ac:dyDescent="0.35">
      <c r="A73" s="356"/>
      <c r="B73" s="139" t="s">
        <v>387</v>
      </c>
      <c r="C73" s="138">
        <v>4</v>
      </c>
      <c r="D73" s="138" t="s">
        <v>455</v>
      </c>
      <c r="E73" s="138">
        <v>3</v>
      </c>
      <c r="F73" s="138">
        <v>70</v>
      </c>
      <c r="K73" s="139" t="s">
        <v>387</v>
      </c>
      <c r="L73" s="142">
        <v>8</v>
      </c>
      <c r="M73" s="142" t="s">
        <v>455</v>
      </c>
      <c r="N73" s="142">
        <v>2</v>
      </c>
      <c r="O73" s="142">
        <v>40</v>
      </c>
      <c r="R73" s="139" t="s">
        <v>387</v>
      </c>
      <c r="S73" s="143">
        <v>1</v>
      </c>
      <c r="T73" s="143">
        <v>1</v>
      </c>
      <c r="U73" s="143">
        <v>2</v>
      </c>
      <c r="V73" s="143">
        <v>30</v>
      </c>
    </row>
    <row r="74" spans="1:22" x14ac:dyDescent="0.35">
      <c r="A74" s="356"/>
      <c r="B74" s="139" t="s">
        <v>182</v>
      </c>
      <c r="C74" s="138">
        <v>4</v>
      </c>
      <c r="D74" s="138" t="s">
        <v>455</v>
      </c>
      <c r="E74" s="138">
        <v>3</v>
      </c>
      <c r="F74" s="138">
        <v>70</v>
      </c>
      <c r="K74" s="139" t="s">
        <v>182</v>
      </c>
      <c r="L74" s="142">
        <v>3</v>
      </c>
      <c r="M74" s="142" t="s">
        <v>455</v>
      </c>
      <c r="N74" s="142">
        <v>4</v>
      </c>
      <c r="O74" s="142">
        <v>25</v>
      </c>
      <c r="R74" s="139" t="s">
        <v>182</v>
      </c>
      <c r="S74" s="143">
        <v>1</v>
      </c>
      <c r="T74" s="143">
        <v>1</v>
      </c>
      <c r="U74" s="143">
        <v>2</v>
      </c>
      <c r="V74" s="143">
        <v>10</v>
      </c>
    </row>
    <row r="75" spans="1:22" x14ac:dyDescent="0.35">
      <c r="A75" s="356"/>
      <c r="B75" s="139" t="s">
        <v>375</v>
      </c>
      <c r="C75" s="138">
        <v>4</v>
      </c>
      <c r="D75" s="138" t="s">
        <v>455</v>
      </c>
      <c r="E75" s="138">
        <v>2</v>
      </c>
      <c r="F75" s="138">
        <v>70</v>
      </c>
      <c r="K75" s="139" t="s">
        <v>375</v>
      </c>
      <c r="L75" s="142" t="s">
        <v>455</v>
      </c>
      <c r="M75" s="142" t="s">
        <v>455</v>
      </c>
      <c r="N75" s="142" t="s">
        <v>455</v>
      </c>
      <c r="O75" s="142" t="s">
        <v>455</v>
      </c>
      <c r="R75" s="139" t="s">
        <v>375</v>
      </c>
      <c r="S75" s="143" t="s">
        <v>455</v>
      </c>
      <c r="T75" s="143" t="s">
        <v>455</v>
      </c>
      <c r="U75" s="143" t="s">
        <v>455</v>
      </c>
      <c r="V75" s="143" t="s">
        <v>455</v>
      </c>
    </row>
    <row r="76" spans="1:22" x14ac:dyDescent="0.35">
      <c r="A76" s="1"/>
      <c r="B76" s="139" t="s">
        <v>181</v>
      </c>
      <c r="C76" s="138">
        <v>4</v>
      </c>
      <c r="D76" s="138" t="s">
        <v>455</v>
      </c>
      <c r="E76" s="138">
        <v>3</v>
      </c>
      <c r="F76" s="138">
        <v>70</v>
      </c>
      <c r="K76" s="139" t="s">
        <v>181</v>
      </c>
      <c r="L76" s="142">
        <v>3</v>
      </c>
      <c r="M76" s="142" t="s">
        <v>455</v>
      </c>
      <c r="N76" s="142">
        <v>4</v>
      </c>
      <c r="O76" s="142">
        <v>25</v>
      </c>
      <c r="R76" s="139" t="s">
        <v>181</v>
      </c>
      <c r="S76" s="143">
        <v>1</v>
      </c>
      <c r="T76" s="143">
        <v>1</v>
      </c>
      <c r="U76" s="143">
        <v>2</v>
      </c>
      <c r="V76" s="143">
        <v>10</v>
      </c>
    </row>
    <row r="77" spans="1:22" x14ac:dyDescent="0.35">
      <c r="A77" s="356"/>
      <c r="B77" s="139" t="s">
        <v>86</v>
      </c>
      <c r="C77" s="138">
        <v>2</v>
      </c>
      <c r="D77" s="138" t="s">
        <v>455</v>
      </c>
      <c r="E77" s="138">
        <v>2</v>
      </c>
      <c r="F77" s="138">
        <v>25</v>
      </c>
      <c r="K77" s="139" t="s">
        <v>86</v>
      </c>
      <c r="L77" s="142">
        <v>3</v>
      </c>
      <c r="M77" s="142" t="s">
        <v>455</v>
      </c>
      <c r="N77" s="142">
        <v>4</v>
      </c>
      <c r="O77" s="142">
        <v>25</v>
      </c>
      <c r="R77" s="139" t="s">
        <v>86</v>
      </c>
      <c r="S77" s="143">
        <v>1</v>
      </c>
      <c r="T77" s="143">
        <v>1</v>
      </c>
      <c r="U77" s="143">
        <v>2</v>
      </c>
      <c r="V77" s="143">
        <v>7</v>
      </c>
    </row>
    <row r="78" spans="1:22" x14ac:dyDescent="0.35">
      <c r="A78" s="356"/>
      <c r="B78" s="139" t="s">
        <v>376</v>
      </c>
      <c r="C78" s="138">
        <v>2</v>
      </c>
      <c r="D78" s="138" t="s">
        <v>455</v>
      </c>
      <c r="E78" s="138">
        <v>2</v>
      </c>
      <c r="F78" s="138">
        <v>25</v>
      </c>
      <c r="K78" s="139" t="s">
        <v>376</v>
      </c>
      <c r="L78" s="142">
        <v>2</v>
      </c>
      <c r="M78" s="142" t="s">
        <v>455</v>
      </c>
      <c r="N78" s="142">
        <v>2</v>
      </c>
      <c r="O78" s="142">
        <v>25</v>
      </c>
      <c r="R78" s="139" t="s">
        <v>376</v>
      </c>
      <c r="S78" s="143">
        <v>1</v>
      </c>
      <c r="T78" s="143">
        <v>1</v>
      </c>
      <c r="U78" s="143">
        <v>2</v>
      </c>
      <c r="V78" s="143">
        <v>7</v>
      </c>
    </row>
    <row r="79" spans="1:22" x14ac:dyDescent="0.35">
      <c r="A79" s="356"/>
      <c r="B79" s="139" t="s">
        <v>88</v>
      </c>
      <c r="C79" s="138">
        <v>1</v>
      </c>
      <c r="D79" s="138" t="s">
        <v>455</v>
      </c>
      <c r="E79" s="138">
        <v>2</v>
      </c>
      <c r="F79" s="138">
        <v>6</v>
      </c>
      <c r="K79" s="139" t="s">
        <v>88</v>
      </c>
      <c r="L79" s="142">
        <v>1</v>
      </c>
      <c r="M79" s="142" t="s">
        <v>455</v>
      </c>
      <c r="N79" s="142">
        <v>2</v>
      </c>
      <c r="O79" s="142">
        <v>6</v>
      </c>
      <c r="R79" s="139" t="s">
        <v>88</v>
      </c>
      <c r="S79" s="143" t="s">
        <v>455</v>
      </c>
      <c r="T79" s="143">
        <v>1</v>
      </c>
      <c r="U79" s="143" t="s">
        <v>455</v>
      </c>
      <c r="V79" s="143">
        <v>4</v>
      </c>
    </row>
    <row r="80" spans="1:22" x14ac:dyDescent="0.35">
      <c r="A80" s="369"/>
      <c r="B80" s="139" t="s">
        <v>426</v>
      </c>
      <c r="C80" s="138">
        <v>1</v>
      </c>
      <c r="D80" s="138" t="s">
        <v>455</v>
      </c>
      <c r="E80" s="138">
        <v>2</v>
      </c>
      <c r="F80" s="138">
        <v>6</v>
      </c>
      <c r="K80" s="139" t="s">
        <v>426</v>
      </c>
      <c r="L80" s="142">
        <v>1</v>
      </c>
      <c r="M80" s="142" t="s">
        <v>455</v>
      </c>
      <c r="N80" s="142">
        <v>2</v>
      </c>
      <c r="O80" s="142">
        <v>6</v>
      </c>
      <c r="R80" s="139" t="s">
        <v>426</v>
      </c>
      <c r="S80" s="143">
        <v>1</v>
      </c>
      <c r="T80" s="143" t="s">
        <v>455</v>
      </c>
      <c r="U80" s="143" t="s">
        <v>455</v>
      </c>
      <c r="V80" s="143" t="s">
        <v>455</v>
      </c>
    </row>
    <row r="81" spans="1:22" x14ac:dyDescent="0.35">
      <c r="A81" s="356"/>
    </row>
    <row r="82" spans="1:22" x14ac:dyDescent="0.35">
      <c r="A82" s="356"/>
    </row>
    <row r="83" spans="1:22" x14ac:dyDescent="0.35">
      <c r="A83" s="356"/>
    </row>
    <row r="84" spans="1:22" ht="26" x14ac:dyDescent="0.35">
      <c r="A84" s="353" t="s">
        <v>401</v>
      </c>
      <c r="B84" s="141" t="s">
        <v>411</v>
      </c>
      <c r="C84" s="141" t="s">
        <v>82</v>
      </c>
      <c r="D84" s="141" t="s">
        <v>96</v>
      </c>
      <c r="E84" s="141" t="s">
        <v>97</v>
      </c>
      <c r="F84" s="141" t="s">
        <v>79</v>
      </c>
      <c r="K84" s="141" t="s">
        <v>412</v>
      </c>
      <c r="L84" s="141" t="s">
        <v>82</v>
      </c>
      <c r="M84" s="141" t="s">
        <v>96</v>
      </c>
      <c r="N84" s="141" t="s">
        <v>97</v>
      </c>
      <c r="O84" s="141" t="s">
        <v>79</v>
      </c>
      <c r="R84" s="141" t="s">
        <v>413</v>
      </c>
      <c r="S84" s="141" t="s">
        <v>82</v>
      </c>
      <c r="T84" s="141" t="s">
        <v>96</v>
      </c>
      <c r="U84" s="141" t="s">
        <v>97</v>
      </c>
      <c r="V84" s="141" t="s">
        <v>79</v>
      </c>
    </row>
    <row r="85" spans="1:22" x14ac:dyDescent="0.35">
      <c r="A85" s="356"/>
      <c r="B85" s="139" t="s">
        <v>77</v>
      </c>
      <c r="C85" s="138">
        <v>15</v>
      </c>
      <c r="D85" s="138" t="s">
        <v>455</v>
      </c>
      <c r="E85" s="138">
        <v>2</v>
      </c>
      <c r="F85" s="138">
        <v>90</v>
      </c>
      <c r="K85" s="139" t="s">
        <v>77</v>
      </c>
      <c r="L85" s="142">
        <v>8</v>
      </c>
      <c r="M85" s="142" t="s">
        <v>455</v>
      </c>
      <c r="N85" s="142">
        <v>2</v>
      </c>
      <c r="O85" s="142">
        <v>40</v>
      </c>
      <c r="R85" s="139" t="s">
        <v>77</v>
      </c>
      <c r="S85" s="143" t="s">
        <v>455</v>
      </c>
      <c r="T85" s="143" t="s">
        <v>455</v>
      </c>
      <c r="U85" s="143">
        <v>1</v>
      </c>
      <c r="V85" s="143">
        <v>30</v>
      </c>
    </row>
    <row r="86" spans="1:22" x14ac:dyDescent="0.35">
      <c r="A86" s="356"/>
      <c r="B86" s="139" t="s">
        <v>391</v>
      </c>
      <c r="C86" s="138">
        <v>15</v>
      </c>
      <c r="D86" s="138" t="s">
        <v>455</v>
      </c>
      <c r="E86" s="138">
        <v>2</v>
      </c>
      <c r="F86" s="138">
        <v>90</v>
      </c>
      <c r="K86" s="139" t="s">
        <v>391</v>
      </c>
      <c r="L86" s="142">
        <v>8</v>
      </c>
      <c r="M86" s="142" t="s">
        <v>455</v>
      </c>
      <c r="N86" s="142">
        <v>2</v>
      </c>
      <c r="O86" s="142">
        <v>40</v>
      </c>
      <c r="R86" s="139" t="s">
        <v>391</v>
      </c>
      <c r="S86" s="143" t="s">
        <v>455</v>
      </c>
      <c r="T86" s="143" t="s">
        <v>455</v>
      </c>
      <c r="U86" s="143">
        <v>1</v>
      </c>
      <c r="V86" s="143">
        <v>30</v>
      </c>
    </row>
    <row r="87" spans="1:22" x14ac:dyDescent="0.35">
      <c r="A87" s="356"/>
      <c r="B87" s="139" t="s">
        <v>184</v>
      </c>
      <c r="C87" s="138">
        <v>10</v>
      </c>
      <c r="D87" s="138" t="s">
        <v>455</v>
      </c>
      <c r="E87" s="138">
        <v>1</v>
      </c>
      <c r="F87" s="138">
        <v>70</v>
      </c>
      <c r="K87" s="139" t="s">
        <v>184</v>
      </c>
      <c r="L87" s="142">
        <v>6</v>
      </c>
      <c r="M87" s="142" t="s">
        <v>455</v>
      </c>
      <c r="N87" s="142">
        <v>1</v>
      </c>
      <c r="O87" s="142">
        <v>30</v>
      </c>
      <c r="R87" s="139" t="s">
        <v>184</v>
      </c>
      <c r="S87" s="143" t="s">
        <v>455</v>
      </c>
      <c r="T87" s="143" t="s">
        <v>455</v>
      </c>
      <c r="U87" s="143">
        <v>1</v>
      </c>
      <c r="V87" s="143">
        <v>20</v>
      </c>
    </row>
    <row r="88" spans="1:22" x14ac:dyDescent="0.35">
      <c r="A88" s="356"/>
      <c r="B88" s="139" t="s">
        <v>183</v>
      </c>
      <c r="C88" s="138">
        <v>10</v>
      </c>
      <c r="D88" s="138" t="s">
        <v>455</v>
      </c>
      <c r="E88" s="138">
        <v>1</v>
      </c>
      <c r="F88" s="138">
        <v>70</v>
      </c>
      <c r="K88" s="139" t="s">
        <v>183</v>
      </c>
      <c r="L88" s="142">
        <v>6</v>
      </c>
      <c r="M88" s="142" t="s">
        <v>455</v>
      </c>
      <c r="N88" s="142">
        <v>1</v>
      </c>
      <c r="O88" s="142">
        <v>30</v>
      </c>
      <c r="R88" s="139" t="s">
        <v>183</v>
      </c>
      <c r="S88" s="143" t="s">
        <v>455</v>
      </c>
      <c r="T88" s="143" t="s">
        <v>455</v>
      </c>
      <c r="U88" s="143">
        <v>1</v>
      </c>
      <c r="V88" s="143">
        <v>20</v>
      </c>
    </row>
    <row r="89" spans="1:22" x14ac:dyDescent="0.35">
      <c r="A89" s="356"/>
      <c r="B89" s="139" t="s">
        <v>94</v>
      </c>
      <c r="C89" s="138">
        <v>3</v>
      </c>
      <c r="D89" s="138" t="s">
        <v>455</v>
      </c>
      <c r="E89" s="138">
        <v>1</v>
      </c>
      <c r="F89" s="138">
        <v>50</v>
      </c>
      <c r="K89" s="139" t="s">
        <v>94</v>
      </c>
      <c r="L89" s="142">
        <v>3</v>
      </c>
      <c r="M89" s="142" t="s">
        <v>455</v>
      </c>
      <c r="N89" s="142">
        <v>1</v>
      </c>
      <c r="O89" s="142">
        <v>30</v>
      </c>
      <c r="R89" s="139" t="s">
        <v>94</v>
      </c>
      <c r="S89" s="143" t="s">
        <v>455</v>
      </c>
      <c r="T89" s="143" t="s">
        <v>455</v>
      </c>
      <c r="U89" s="143">
        <v>1</v>
      </c>
      <c r="V89" s="143">
        <v>20</v>
      </c>
    </row>
    <row r="90" spans="1:22" x14ac:dyDescent="0.35">
      <c r="A90" s="356"/>
      <c r="B90" s="139" t="s">
        <v>387</v>
      </c>
      <c r="C90" s="138">
        <v>3</v>
      </c>
      <c r="D90" s="138" t="s">
        <v>455</v>
      </c>
      <c r="E90" s="138">
        <v>1</v>
      </c>
      <c r="F90" s="138">
        <v>50</v>
      </c>
      <c r="K90" s="139" t="s">
        <v>387</v>
      </c>
      <c r="L90" s="142">
        <v>6</v>
      </c>
      <c r="M90" s="142" t="s">
        <v>455</v>
      </c>
      <c r="N90" s="142">
        <v>1</v>
      </c>
      <c r="O90" s="142">
        <v>30</v>
      </c>
      <c r="R90" s="139" t="s">
        <v>387</v>
      </c>
      <c r="S90" s="143" t="s">
        <v>455</v>
      </c>
      <c r="T90" s="143" t="s">
        <v>455</v>
      </c>
      <c r="U90" s="143">
        <v>1</v>
      </c>
      <c r="V90" s="143">
        <v>20</v>
      </c>
    </row>
    <row r="91" spans="1:22" x14ac:dyDescent="0.35">
      <c r="A91" s="356"/>
      <c r="B91" s="139" t="s">
        <v>182</v>
      </c>
      <c r="C91" s="138">
        <v>3</v>
      </c>
      <c r="D91" s="138" t="s">
        <v>455</v>
      </c>
      <c r="E91" s="138">
        <v>1</v>
      </c>
      <c r="F91" s="138">
        <v>50</v>
      </c>
      <c r="K91" s="139" t="s">
        <v>182</v>
      </c>
      <c r="L91" s="142">
        <v>2</v>
      </c>
      <c r="M91" s="142" t="s">
        <v>455</v>
      </c>
      <c r="N91" s="142">
        <v>1</v>
      </c>
      <c r="O91" s="142">
        <v>20</v>
      </c>
      <c r="R91" s="139" t="s">
        <v>182</v>
      </c>
      <c r="S91" s="143" t="s">
        <v>455</v>
      </c>
      <c r="T91" s="143" t="s">
        <v>455</v>
      </c>
      <c r="U91" s="143">
        <v>1</v>
      </c>
      <c r="V91" s="143">
        <v>5</v>
      </c>
    </row>
    <row r="92" spans="1:22" x14ac:dyDescent="0.35">
      <c r="A92" s="356"/>
      <c r="B92" s="139" t="s">
        <v>375</v>
      </c>
      <c r="C92" s="138">
        <v>3</v>
      </c>
      <c r="D92" s="138" t="s">
        <v>455</v>
      </c>
      <c r="E92" s="138">
        <v>1</v>
      </c>
      <c r="F92" s="138">
        <v>50</v>
      </c>
      <c r="K92" s="139" t="s">
        <v>375</v>
      </c>
      <c r="L92" s="142" t="s">
        <v>455</v>
      </c>
      <c r="M92" s="142" t="s">
        <v>455</v>
      </c>
      <c r="N92" s="142" t="s">
        <v>455</v>
      </c>
      <c r="O92" s="142" t="s">
        <v>455</v>
      </c>
      <c r="R92" s="139" t="s">
        <v>375</v>
      </c>
      <c r="S92" s="143" t="s">
        <v>455</v>
      </c>
      <c r="T92" s="143" t="s">
        <v>455</v>
      </c>
      <c r="U92" s="143" t="s">
        <v>455</v>
      </c>
      <c r="V92" s="143" t="s">
        <v>455</v>
      </c>
    </row>
    <row r="93" spans="1:22" x14ac:dyDescent="0.35">
      <c r="A93" s="357"/>
      <c r="B93" s="139" t="s">
        <v>181</v>
      </c>
      <c r="C93" s="138">
        <v>3</v>
      </c>
      <c r="D93" s="138" t="s">
        <v>455</v>
      </c>
      <c r="E93" s="138">
        <v>1</v>
      </c>
      <c r="F93" s="138">
        <v>50</v>
      </c>
      <c r="K93" s="139" t="s">
        <v>181</v>
      </c>
      <c r="L93" s="142">
        <v>2</v>
      </c>
      <c r="M93" s="142" t="s">
        <v>455</v>
      </c>
      <c r="N93" s="142">
        <v>1</v>
      </c>
      <c r="O93" s="142">
        <v>20</v>
      </c>
      <c r="R93" s="139" t="s">
        <v>181</v>
      </c>
      <c r="S93" s="143" t="s">
        <v>455</v>
      </c>
      <c r="T93" s="143" t="s">
        <v>455</v>
      </c>
      <c r="U93" s="143">
        <v>1</v>
      </c>
      <c r="V93" s="143">
        <v>5</v>
      </c>
    </row>
    <row r="94" spans="1:22" x14ac:dyDescent="0.35">
      <c r="A94" s="1"/>
      <c r="B94" s="139" t="s">
        <v>86</v>
      </c>
      <c r="C94" s="138">
        <v>1</v>
      </c>
      <c r="D94" s="138" t="s">
        <v>455</v>
      </c>
      <c r="E94" s="138">
        <v>1</v>
      </c>
      <c r="F94" s="138">
        <v>20</v>
      </c>
      <c r="K94" s="139" t="s">
        <v>86</v>
      </c>
      <c r="L94" s="142">
        <v>2</v>
      </c>
      <c r="M94" s="142" t="s">
        <v>455</v>
      </c>
      <c r="N94" s="142">
        <v>1</v>
      </c>
      <c r="O94" s="142">
        <v>20</v>
      </c>
      <c r="R94" s="139" t="s">
        <v>86</v>
      </c>
      <c r="S94" s="143" t="s">
        <v>455</v>
      </c>
      <c r="T94" s="143" t="s">
        <v>455</v>
      </c>
      <c r="U94" s="143">
        <v>1</v>
      </c>
      <c r="V94" s="143">
        <v>3</v>
      </c>
    </row>
    <row r="95" spans="1:22" x14ac:dyDescent="0.35">
      <c r="B95" s="139" t="s">
        <v>376</v>
      </c>
      <c r="C95" s="138">
        <v>1</v>
      </c>
      <c r="D95" s="138" t="s">
        <v>455</v>
      </c>
      <c r="E95" s="138">
        <v>1</v>
      </c>
      <c r="F95" s="138">
        <v>20</v>
      </c>
      <c r="K95" s="139" t="s">
        <v>376</v>
      </c>
      <c r="L95" s="142">
        <v>1</v>
      </c>
      <c r="M95" s="142" t="s">
        <v>455</v>
      </c>
      <c r="N95" s="142">
        <v>1</v>
      </c>
      <c r="O95" s="142">
        <v>20</v>
      </c>
      <c r="R95" s="139" t="s">
        <v>376</v>
      </c>
      <c r="S95" s="143" t="s">
        <v>455</v>
      </c>
      <c r="T95" s="143" t="s">
        <v>455</v>
      </c>
      <c r="U95" s="143">
        <v>1</v>
      </c>
      <c r="V95" s="143">
        <v>3</v>
      </c>
    </row>
    <row r="96" spans="1:22" x14ac:dyDescent="0.35">
      <c r="B96" s="139" t="s">
        <v>88</v>
      </c>
      <c r="C96" s="138" t="s">
        <v>455</v>
      </c>
      <c r="D96" s="138" t="s">
        <v>455</v>
      </c>
      <c r="E96" s="138">
        <v>1</v>
      </c>
      <c r="F96" s="138">
        <v>4</v>
      </c>
      <c r="K96" s="139" t="s">
        <v>88</v>
      </c>
      <c r="L96" s="142" t="s">
        <v>455</v>
      </c>
      <c r="M96" s="142" t="s">
        <v>455</v>
      </c>
      <c r="N96" s="142">
        <v>1</v>
      </c>
      <c r="O96" s="142">
        <v>4</v>
      </c>
      <c r="R96" s="139" t="s">
        <v>88</v>
      </c>
      <c r="S96" s="143" t="s">
        <v>455</v>
      </c>
      <c r="T96" s="143" t="s">
        <v>455</v>
      </c>
      <c r="U96" s="143" t="s">
        <v>455</v>
      </c>
      <c r="V96" s="143">
        <v>2</v>
      </c>
    </row>
    <row r="97" spans="1:22" x14ac:dyDescent="0.35">
      <c r="A97" s="358"/>
      <c r="B97" s="139" t="s">
        <v>426</v>
      </c>
      <c r="C97" s="138">
        <v>1</v>
      </c>
      <c r="D97" s="138" t="s">
        <v>455</v>
      </c>
      <c r="E97" s="138">
        <v>1</v>
      </c>
      <c r="F97" s="138">
        <v>4</v>
      </c>
      <c r="K97" s="139" t="s">
        <v>426</v>
      </c>
      <c r="L97" s="142" t="s">
        <v>455</v>
      </c>
      <c r="M97" s="142" t="s">
        <v>455</v>
      </c>
      <c r="N97" s="142">
        <v>1</v>
      </c>
      <c r="O97" s="142">
        <v>4</v>
      </c>
      <c r="R97" s="139" t="s">
        <v>426</v>
      </c>
      <c r="S97" s="143" t="s">
        <v>455</v>
      </c>
      <c r="T97" s="143" t="s">
        <v>455</v>
      </c>
      <c r="U97" s="143" t="s">
        <v>455</v>
      </c>
      <c r="V97" s="143" t="s">
        <v>455</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37" bestFit="1" customWidth="1"/>
    <col min="3" max="3" width="12.7265625" style="337" customWidth="1"/>
    <col min="4" max="7" width="8.7265625" style="337" customWidth="1"/>
    <col min="8" max="8" width="11.453125" style="337" customWidth="1"/>
    <col min="9" max="10" width="8.7265625" style="337" customWidth="1"/>
    <col min="11" max="12" width="13.1796875" style="337" customWidth="1"/>
    <col min="13" max="13" width="24" style="337"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30"/>
      <c r="B2" s="297"/>
      <c r="C2" s="297"/>
      <c r="D2" s="297"/>
      <c r="E2" s="297"/>
      <c r="F2" s="297"/>
      <c r="G2" s="297"/>
      <c r="H2" s="297"/>
      <c r="I2" s="297"/>
      <c r="J2" s="297"/>
      <c r="K2" s="297"/>
      <c r="L2" s="297"/>
      <c r="M2" s="297"/>
    </row>
    <row r="3" spans="1:13" ht="13" x14ac:dyDescent="0.25">
      <c r="A3" s="330" t="s">
        <v>372</v>
      </c>
      <c r="B3" s="297" t="s">
        <v>373</v>
      </c>
      <c r="C3" s="297" t="s">
        <v>374</v>
      </c>
      <c r="D3" s="297" t="s">
        <v>184</v>
      </c>
      <c r="E3" s="297" t="s">
        <v>183</v>
      </c>
      <c r="F3" s="297" t="s">
        <v>94</v>
      </c>
      <c r="G3" s="297" t="s">
        <v>182</v>
      </c>
      <c r="H3" s="297" t="s">
        <v>375</v>
      </c>
      <c r="I3" s="297" t="s">
        <v>181</v>
      </c>
      <c r="J3" s="297" t="s">
        <v>86</v>
      </c>
      <c r="K3" s="297" t="s">
        <v>376</v>
      </c>
      <c r="L3" s="297" t="s">
        <v>88</v>
      </c>
      <c r="M3" s="297" t="s">
        <v>415</v>
      </c>
    </row>
    <row r="4" spans="1:13" ht="13" x14ac:dyDescent="0.3">
      <c r="A4" s="130" t="s">
        <v>295</v>
      </c>
      <c r="B4" s="297"/>
      <c r="C4" s="331"/>
      <c r="D4" s="297"/>
      <c r="E4" s="297"/>
      <c r="F4" s="297"/>
      <c r="G4" s="297"/>
      <c r="H4" s="297"/>
      <c r="I4" s="297"/>
      <c r="J4" s="297"/>
      <c r="K4" s="297"/>
      <c r="L4" s="17"/>
      <c r="M4" s="297"/>
    </row>
    <row r="5" spans="1:13" x14ac:dyDescent="0.25">
      <c r="A5" s="130" t="s">
        <v>377</v>
      </c>
      <c r="B5" s="297">
        <v>101</v>
      </c>
      <c r="C5" s="297">
        <v>83</v>
      </c>
      <c r="D5" s="297">
        <v>52</v>
      </c>
      <c r="E5" s="297">
        <v>51</v>
      </c>
      <c r="F5" s="297">
        <v>25</v>
      </c>
      <c r="G5" s="297">
        <v>21</v>
      </c>
      <c r="H5" s="297">
        <v>22</v>
      </c>
      <c r="I5" s="297">
        <v>15</v>
      </c>
      <c r="J5" s="297">
        <v>10</v>
      </c>
      <c r="K5" s="297">
        <v>9</v>
      </c>
      <c r="L5" s="187">
        <v>4</v>
      </c>
      <c r="M5" s="297">
        <v>2</v>
      </c>
    </row>
    <row r="6" spans="1:13" x14ac:dyDescent="0.25">
      <c r="A6" s="188" t="s">
        <v>185</v>
      </c>
      <c r="B6" s="297"/>
      <c r="C6" s="297"/>
      <c r="D6" s="297"/>
      <c r="E6" s="297"/>
      <c r="F6" s="297"/>
      <c r="G6" s="297"/>
      <c r="H6" s="297"/>
      <c r="I6" s="297"/>
      <c r="J6" s="297"/>
      <c r="K6" s="297"/>
      <c r="L6" s="17"/>
      <c r="M6" s="297"/>
    </row>
    <row r="7" spans="1:13" x14ac:dyDescent="0.25">
      <c r="A7" s="301" t="s">
        <v>186</v>
      </c>
      <c r="B7" s="297"/>
      <c r="C7" s="297"/>
      <c r="D7" s="297"/>
      <c r="E7" s="297"/>
      <c r="F7" s="297"/>
      <c r="G7" s="297"/>
      <c r="H7" s="297"/>
      <c r="I7" s="297"/>
      <c r="J7" s="297"/>
      <c r="K7" s="297"/>
      <c r="L7" s="17"/>
      <c r="M7" s="297"/>
    </row>
    <row r="8" spans="1:13" x14ac:dyDescent="0.25">
      <c r="A8" s="188" t="s">
        <v>187</v>
      </c>
      <c r="B8" s="297"/>
      <c r="C8" s="297"/>
      <c r="D8" s="297"/>
      <c r="E8" s="297"/>
      <c r="F8" s="297"/>
      <c r="G8" s="297"/>
      <c r="H8" s="297"/>
      <c r="I8" s="297"/>
      <c r="J8" s="297"/>
      <c r="K8" s="297"/>
      <c r="L8" s="17"/>
      <c r="M8" s="297"/>
    </row>
    <row r="9" spans="1:13" x14ac:dyDescent="0.25">
      <c r="A9" s="301" t="s">
        <v>188</v>
      </c>
      <c r="B9" s="297"/>
      <c r="C9" s="297"/>
      <c r="D9" s="297"/>
      <c r="E9" s="297"/>
      <c r="F9" s="297"/>
      <c r="G9" s="297"/>
      <c r="H9" s="297"/>
      <c r="I9" s="297"/>
      <c r="J9" s="297"/>
      <c r="K9" s="297"/>
      <c r="L9" s="17"/>
      <c r="M9" s="297"/>
    </row>
    <row r="10" spans="1:13" x14ac:dyDescent="0.25">
      <c r="A10" s="301" t="s">
        <v>189</v>
      </c>
      <c r="B10" s="297"/>
      <c r="C10" s="297"/>
      <c r="D10" s="297"/>
      <c r="E10" s="297"/>
      <c r="F10" s="297"/>
      <c r="G10" s="297"/>
      <c r="H10" s="297"/>
      <c r="I10" s="297"/>
      <c r="J10" s="297"/>
      <c r="K10" s="297"/>
      <c r="L10" s="17"/>
      <c r="M10" s="297"/>
    </row>
    <row r="11" spans="1:13" x14ac:dyDescent="0.25">
      <c r="A11" s="299" t="s">
        <v>190</v>
      </c>
      <c r="B11" s="297"/>
      <c r="C11" s="297"/>
      <c r="D11" s="297"/>
      <c r="E11" s="297"/>
      <c r="F11" s="297"/>
      <c r="G11" s="297"/>
      <c r="H11" s="297"/>
      <c r="I11" s="297"/>
      <c r="J11" s="297"/>
      <c r="K11" s="297"/>
      <c r="L11" s="17"/>
      <c r="M11" s="297"/>
    </row>
    <row r="12" spans="1:13" x14ac:dyDescent="0.25">
      <c r="A12" s="299"/>
      <c r="B12" s="297"/>
      <c r="C12" s="297"/>
      <c r="D12" s="297"/>
      <c r="E12" s="297"/>
      <c r="F12" s="297"/>
      <c r="G12" s="297"/>
      <c r="H12" s="297"/>
      <c r="I12" s="297"/>
      <c r="J12" s="297"/>
      <c r="K12" s="297"/>
      <c r="L12" s="17"/>
      <c r="M12" s="297"/>
    </row>
    <row r="13" spans="1:13" x14ac:dyDescent="0.25">
      <c r="A13" s="130" t="s">
        <v>297</v>
      </c>
      <c r="B13" s="297"/>
      <c r="C13" s="297"/>
      <c r="D13" s="297"/>
      <c r="E13" s="297"/>
      <c r="F13" s="297"/>
      <c r="G13" s="297"/>
      <c r="H13" s="297"/>
      <c r="I13" s="297"/>
      <c r="J13" s="297"/>
      <c r="K13" s="297"/>
      <c r="L13" s="17"/>
      <c r="M13" s="297"/>
    </row>
    <row r="14" spans="1:13" x14ac:dyDescent="0.25">
      <c r="A14" s="301" t="s">
        <v>378</v>
      </c>
      <c r="B14" s="297">
        <v>8</v>
      </c>
      <c r="C14" s="297">
        <v>8</v>
      </c>
      <c r="D14" s="297">
        <v>6</v>
      </c>
      <c r="E14" s="297">
        <v>6</v>
      </c>
      <c r="F14" s="297">
        <v>3</v>
      </c>
      <c r="G14" s="297">
        <v>3</v>
      </c>
      <c r="H14" s="297">
        <v>3</v>
      </c>
      <c r="I14" s="297">
        <v>3</v>
      </c>
      <c r="J14" s="297">
        <v>2</v>
      </c>
      <c r="K14" s="297">
        <v>1</v>
      </c>
      <c r="L14" s="187">
        <v>1</v>
      </c>
      <c r="M14" s="297">
        <v>1</v>
      </c>
    </row>
    <row r="15" spans="1:13" x14ac:dyDescent="0.25">
      <c r="A15" s="188" t="s">
        <v>379</v>
      </c>
      <c r="B15" s="297">
        <v>4</v>
      </c>
      <c r="C15" s="297">
        <v>4</v>
      </c>
      <c r="D15" s="297">
        <v>3</v>
      </c>
      <c r="E15" s="297">
        <v>3</v>
      </c>
      <c r="F15" s="297">
        <v>2</v>
      </c>
      <c r="G15" s="297">
        <v>2</v>
      </c>
      <c r="H15" s="297">
        <v>2</v>
      </c>
      <c r="I15" s="297">
        <v>2</v>
      </c>
      <c r="J15" s="297">
        <v>1</v>
      </c>
      <c r="K15" s="297">
        <v>1</v>
      </c>
      <c r="L15" s="187">
        <v>1</v>
      </c>
      <c r="M15" s="297">
        <v>1</v>
      </c>
    </row>
    <row r="16" spans="1:13" x14ac:dyDescent="0.25">
      <c r="A16" s="301" t="s">
        <v>380</v>
      </c>
      <c r="B16" s="297">
        <v>2</v>
      </c>
      <c r="C16" s="297">
        <v>2</v>
      </c>
      <c r="D16" s="297">
        <v>1</v>
      </c>
      <c r="E16" s="297">
        <v>1</v>
      </c>
      <c r="F16" s="297">
        <v>1</v>
      </c>
      <c r="G16" s="297">
        <v>1</v>
      </c>
      <c r="H16" s="297">
        <v>1</v>
      </c>
      <c r="I16" s="297">
        <v>1</v>
      </c>
      <c r="J16" s="297" t="s">
        <v>128</v>
      </c>
      <c r="K16" s="297" t="s">
        <v>128</v>
      </c>
      <c r="L16" s="297" t="s">
        <v>128</v>
      </c>
      <c r="M16" s="297" t="s">
        <v>128</v>
      </c>
    </row>
    <row r="17" spans="1:13" x14ac:dyDescent="0.25">
      <c r="A17" s="301" t="s">
        <v>381</v>
      </c>
      <c r="B17" s="297">
        <v>2</v>
      </c>
      <c r="C17" s="297">
        <v>2</v>
      </c>
      <c r="D17" s="297">
        <v>1</v>
      </c>
      <c r="E17" s="297">
        <v>1</v>
      </c>
      <c r="F17" s="297">
        <v>1</v>
      </c>
      <c r="G17" s="297">
        <v>1</v>
      </c>
      <c r="H17" s="297">
        <v>1</v>
      </c>
      <c r="I17" s="297">
        <v>1</v>
      </c>
      <c r="J17" s="297" t="s">
        <v>128</v>
      </c>
      <c r="K17" s="297" t="s">
        <v>128</v>
      </c>
      <c r="L17" s="297" t="s">
        <v>128</v>
      </c>
      <c r="M17" s="297" t="s">
        <v>128</v>
      </c>
    </row>
    <row r="18" spans="1:13" x14ac:dyDescent="0.25">
      <c r="A18" s="332" t="s">
        <v>382</v>
      </c>
      <c r="B18" s="297">
        <v>60</v>
      </c>
      <c r="C18" s="297">
        <v>60</v>
      </c>
      <c r="D18" s="297">
        <v>60</v>
      </c>
      <c r="E18" s="297">
        <v>50</v>
      </c>
      <c r="F18" s="297">
        <v>50</v>
      </c>
      <c r="G18" s="297">
        <v>50</v>
      </c>
      <c r="H18" s="297">
        <v>50</v>
      </c>
      <c r="I18" s="297">
        <v>50</v>
      </c>
      <c r="J18" s="297">
        <v>25</v>
      </c>
      <c r="K18" s="297">
        <v>15</v>
      </c>
      <c r="L18" s="187">
        <v>15</v>
      </c>
      <c r="M18" s="297">
        <v>15</v>
      </c>
    </row>
    <row r="19" spans="1:13" x14ac:dyDescent="0.25">
      <c r="A19" s="332" t="s">
        <v>383</v>
      </c>
      <c r="B19" s="297">
        <v>20</v>
      </c>
      <c r="C19" s="297">
        <v>20</v>
      </c>
      <c r="D19" s="297">
        <v>20</v>
      </c>
      <c r="E19" s="297">
        <v>20</v>
      </c>
      <c r="F19" s="297">
        <v>20</v>
      </c>
      <c r="G19" s="297">
        <v>20</v>
      </c>
      <c r="H19" s="297">
        <v>20</v>
      </c>
      <c r="I19" s="297">
        <v>20</v>
      </c>
      <c r="J19" s="297">
        <v>10</v>
      </c>
      <c r="K19" s="297">
        <v>7</v>
      </c>
      <c r="L19" s="187">
        <v>6</v>
      </c>
      <c r="M19" s="297">
        <v>5</v>
      </c>
    </row>
    <row r="20" spans="1:13" x14ac:dyDescent="0.25">
      <c r="A20" s="332"/>
      <c r="B20" s="297"/>
      <c r="C20" s="297"/>
      <c r="D20" s="297"/>
      <c r="E20" s="297"/>
      <c r="F20" s="297"/>
      <c r="G20" s="297"/>
      <c r="H20" s="297"/>
      <c r="I20" s="297"/>
      <c r="J20" s="297"/>
      <c r="K20" s="297"/>
      <c r="L20" s="297"/>
      <c r="M20" s="297"/>
    </row>
    <row r="21" spans="1:13" x14ac:dyDescent="0.25">
      <c r="A21" s="130" t="s">
        <v>298</v>
      </c>
      <c r="B21" s="297"/>
      <c r="C21" s="297"/>
      <c r="D21" s="297"/>
      <c r="E21" s="297"/>
      <c r="F21" s="297"/>
      <c r="G21" s="297"/>
      <c r="H21" s="297"/>
      <c r="I21" s="297"/>
      <c r="J21" s="297"/>
      <c r="K21" s="297"/>
      <c r="L21" s="297"/>
      <c r="M21" s="297"/>
    </row>
    <row r="22" spans="1:13" ht="18" customHeight="1" x14ac:dyDescent="0.25">
      <c r="A22" s="130" t="s">
        <v>384</v>
      </c>
      <c r="B22" s="297">
        <v>8</v>
      </c>
      <c r="C22" s="297">
        <v>8</v>
      </c>
      <c r="D22" s="297">
        <v>8</v>
      </c>
      <c r="E22" s="297">
        <v>8</v>
      </c>
      <c r="F22" s="297">
        <v>6</v>
      </c>
      <c r="G22" s="297">
        <v>6</v>
      </c>
      <c r="H22" s="297">
        <v>5</v>
      </c>
      <c r="I22" s="297">
        <v>5</v>
      </c>
      <c r="J22" s="297">
        <v>3</v>
      </c>
      <c r="K22" s="297" t="s">
        <v>128</v>
      </c>
      <c r="L22" s="297" t="s">
        <v>128</v>
      </c>
      <c r="M22" s="297" t="s">
        <v>128</v>
      </c>
    </row>
    <row r="23" spans="1:13" x14ac:dyDescent="0.25">
      <c r="A23" s="188" t="s">
        <v>299</v>
      </c>
      <c r="B23" s="297"/>
      <c r="C23" s="297"/>
      <c r="D23" s="297"/>
      <c r="E23" s="297"/>
      <c r="F23" s="297"/>
      <c r="G23" s="297"/>
      <c r="H23" s="297"/>
      <c r="I23" s="297"/>
      <c r="J23" s="333" t="s">
        <v>128</v>
      </c>
      <c r="K23" s="333"/>
      <c r="L23" s="333"/>
      <c r="M23" s="333"/>
    </row>
    <row r="24" spans="1:13" x14ac:dyDescent="0.25">
      <c r="A24" s="301" t="s">
        <v>300</v>
      </c>
      <c r="B24" s="297"/>
      <c r="C24" s="297"/>
      <c r="D24" s="297"/>
      <c r="E24" s="297"/>
      <c r="F24" s="297"/>
      <c r="G24" s="297"/>
      <c r="H24" s="297"/>
      <c r="I24" s="297"/>
      <c r="J24" s="333"/>
      <c r="K24" s="333"/>
      <c r="L24" s="333"/>
      <c r="M24" s="333"/>
    </row>
    <row r="25" spans="1:13" x14ac:dyDescent="0.25">
      <c r="A25" s="188" t="s">
        <v>301</v>
      </c>
      <c r="B25" s="297"/>
      <c r="C25" s="297"/>
      <c r="D25" s="297"/>
      <c r="E25" s="297"/>
      <c r="F25" s="297"/>
      <c r="G25" s="297"/>
      <c r="H25" s="297"/>
      <c r="I25" s="297"/>
      <c r="J25" s="333" t="s">
        <v>128</v>
      </c>
      <c r="K25" s="333"/>
      <c r="L25" s="333"/>
      <c r="M25" s="333"/>
    </row>
    <row r="26" spans="1:13" x14ac:dyDescent="0.25">
      <c r="A26" s="188" t="s">
        <v>302</v>
      </c>
      <c r="B26" s="297"/>
      <c r="C26" s="297"/>
      <c r="D26" s="297"/>
      <c r="E26" s="297"/>
      <c r="F26" s="297"/>
      <c r="G26" s="297"/>
      <c r="H26" s="297"/>
      <c r="I26" s="297"/>
      <c r="J26" s="333" t="s">
        <v>128</v>
      </c>
      <c r="K26" s="333"/>
      <c r="L26" s="333"/>
      <c r="M26" s="333"/>
    </row>
    <row r="27" spans="1:13" x14ac:dyDescent="0.25">
      <c r="A27" s="188" t="s">
        <v>303</v>
      </c>
      <c r="B27" s="297"/>
      <c r="C27" s="297"/>
      <c r="D27" s="297"/>
      <c r="E27" s="297"/>
      <c r="F27" s="297"/>
      <c r="G27" s="297"/>
      <c r="H27" s="297"/>
      <c r="I27" s="297"/>
      <c r="J27" s="333"/>
      <c r="K27" s="333"/>
      <c r="L27" s="333"/>
      <c r="M27" s="333"/>
    </row>
    <row r="28" spans="1:13" x14ac:dyDescent="0.25">
      <c r="A28" s="188" t="s">
        <v>304</v>
      </c>
      <c r="B28" s="297"/>
      <c r="C28" s="297"/>
      <c r="D28" s="297"/>
      <c r="E28" s="297"/>
      <c r="F28" s="297"/>
      <c r="G28" s="297"/>
      <c r="H28" s="297"/>
      <c r="I28" s="297"/>
      <c r="J28" s="333"/>
      <c r="K28" s="333"/>
      <c r="L28" s="333"/>
      <c r="M28" s="333"/>
    </row>
    <row r="29" spans="1:13" x14ac:dyDescent="0.25">
      <c r="A29" s="188" t="s">
        <v>305</v>
      </c>
      <c r="B29" s="297"/>
      <c r="C29" s="297"/>
      <c r="D29" s="297"/>
      <c r="E29" s="297"/>
      <c r="F29" s="297"/>
      <c r="G29" s="297"/>
      <c r="H29" s="297"/>
      <c r="I29" s="297"/>
      <c r="J29" s="333"/>
      <c r="K29" s="333"/>
      <c r="L29" s="333"/>
      <c r="M29" s="333"/>
    </row>
    <row r="30" spans="1:13" x14ac:dyDescent="0.25">
      <c r="A30" s="188" t="s">
        <v>306</v>
      </c>
      <c r="B30" s="297"/>
      <c r="C30" s="297"/>
      <c r="D30" s="297"/>
      <c r="E30" s="297"/>
      <c r="F30" s="297"/>
      <c r="G30" s="297"/>
      <c r="H30" s="297"/>
      <c r="I30" s="297"/>
      <c r="J30" s="333" t="s">
        <v>128</v>
      </c>
      <c r="K30" s="333"/>
      <c r="L30" s="333"/>
      <c r="M30" s="333"/>
    </row>
    <row r="31" spans="1:13" x14ac:dyDescent="0.25">
      <c r="A31" s="188" t="s">
        <v>307</v>
      </c>
      <c r="B31" s="297"/>
      <c r="C31" s="297"/>
      <c r="D31" s="297"/>
      <c r="E31" s="297"/>
      <c r="F31" s="297"/>
      <c r="G31" s="297"/>
      <c r="H31" s="297"/>
      <c r="I31" s="297"/>
      <c r="J31" s="333"/>
      <c r="K31" s="333"/>
      <c r="L31" s="333"/>
      <c r="M31" s="333"/>
    </row>
    <row r="32" spans="1:13" x14ac:dyDescent="0.25">
      <c r="A32" s="188" t="s">
        <v>308</v>
      </c>
      <c r="B32" s="297"/>
      <c r="C32" s="297"/>
      <c r="D32" s="297"/>
      <c r="E32" s="297"/>
      <c r="F32" s="297"/>
      <c r="G32" s="297"/>
      <c r="H32" s="297"/>
      <c r="I32" s="297"/>
      <c r="J32" s="333"/>
      <c r="K32" s="333"/>
      <c r="L32" s="333"/>
      <c r="M32" s="333"/>
    </row>
    <row r="33" spans="1:13" x14ac:dyDescent="0.25">
      <c r="A33" s="298" t="s">
        <v>296</v>
      </c>
      <c r="B33" s="297"/>
      <c r="C33" s="297"/>
      <c r="D33" s="297"/>
      <c r="E33" s="297"/>
      <c r="F33" s="297"/>
      <c r="G33" s="297"/>
      <c r="H33" s="297"/>
      <c r="I33" s="297"/>
      <c r="J33" s="297"/>
      <c r="K33" s="297"/>
      <c r="L33" s="297"/>
      <c r="M33" s="297"/>
    </row>
    <row r="34" spans="1:13" x14ac:dyDescent="0.25">
      <c r="A34" s="130" t="s">
        <v>309</v>
      </c>
      <c r="B34" s="297"/>
      <c r="C34" s="297"/>
      <c r="D34" s="297"/>
      <c r="E34" s="297"/>
      <c r="F34" s="297"/>
      <c r="G34" s="297"/>
      <c r="H34" s="297"/>
      <c r="I34" s="297"/>
      <c r="J34" s="297"/>
      <c r="K34" s="297"/>
      <c r="L34" s="297"/>
      <c r="M34" s="297"/>
    </row>
    <row r="35" spans="1:13" x14ac:dyDescent="0.25">
      <c r="A35" s="130" t="s">
        <v>385</v>
      </c>
      <c r="B35" s="297">
        <v>18</v>
      </c>
      <c r="C35" s="297">
        <v>18</v>
      </c>
      <c r="D35" s="297">
        <v>18</v>
      </c>
      <c r="E35" s="297">
        <v>18</v>
      </c>
      <c r="F35" s="297">
        <v>6</v>
      </c>
      <c r="G35" s="297">
        <v>15</v>
      </c>
      <c r="H35" s="297">
        <v>3</v>
      </c>
      <c r="I35" s="297">
        <v>3</v>
      </c>
      <c r="J35" s="297">
        <v>1</v>
      </c>
      <c r="K35" s="333" t="s">
        <v>128</v>
      </c>
      <c r="L35" s="333" t="s">
        <v>128</v>
      </c>
      <c r="M35" s="333" t="s">
        <v>128</v>
      </c>
    </row>
    <row r="36" spans="1:13" s="300" customFormat="1" ht="25" x14ac:dyDescent="0.35">
      <c r="A36" s="334" t="s">
        <v>310</v>
      </c>
      <c r="B36" s="333"/>
      <c r="C36" s="333"/>
      <c r="D36" s="333"/>
      <c r="E36" s="333"/>
      <c r="F36" s="333"/>
      <c r="G36" s="333"/>
      <c r="H36" s="333"/>
      <c r="I36" s="333"/>
      <c r="J36" s="333" t="s">
        <v>128</v>
      </c>
      <c r="K36" s="333"/>
      <c r="L36" s="333"/>
      <c r="M36" s="333"/>
    </row>
    <row r="37" spans="1:13" s="300" customFormat="1" ht="21.75" customHeight="1" x14ac:dyDescent="0.35">
      <c r="A37" s="335" t="s">
        <v>311</v>
      </c>
      <c r="B37" s="333"/>
      <c r="C37" s="333"/>
      <c r="D37" s="333"/>
      <c r="E37" s="333"/>
      <c r="F37" s="333"/>
      <c r="G37" s="333"/>
      <c r="H37" s="333"/>
      <c r="I37" s="333"/>
      <c r="J37" s="333"/>
      <c r="K37" s="333"/>
      <c r="L37" s="333"/>
      <c r="M37" s="333"/>
    </row>
    <row r="38" spans="1:13" s="300" customFormat="1" ht="25" x14ac:dyDescent="0.35">
      <c r="A38" s="334" t="s">
        <v>312</v>
      </c>
      <c r="B38" s="333"/>
      <c r="C38" s="333"/>
      <c r="D38" s="333"/>
      <c r="E38" s="333"/>
      <c r="F38" s="333"/>
      <c r="G38" s="333"/>
      <c r="H38" s="333"/>
      <c r="I38" s="333"/>
      <c r="J38" s="333" t="s">
        <v>128</v>
      </c>
      <c r="K38" s="333"/>
      <c r="L38" s="333"/>
      <c r="M38" s="333"/>
    </row>
    <row r="39" spans="1:13" s="300" customFormat="1" ht="25" x14ac:dyDescent="0.35">
      <c r="A39" s="334" t="s">
        <v>313</v>
      </c>
      <c r="B39" s="333"/>
      <c r="C39" s="333"/>
      <c r="D39" s="333"/>
      <c r="E39" s="333"/>
      <c r="F39" s="333"/>
      <c r="G39" s="333"/>
      <c r="H39" s="333"/>
      <c r="I39" s="333"/>
      <c r="J39" s="333" t="s">
        <v>128</v>
      </c>
      <c r="K39" s="333"/>
      <c r="L39" s="333"/>
      <c r="M39" s="333"/>
    </row>
    <row r="40" spans="1:13" s="300" customFormat="1" ht="25" x14ac:dyDescent="0.35">
      <c r="A40" s="334" t="s">
        <v>314</v>
      </c>
      <c r="B40" s="333"/>
      <c r="C40" s="333"/>
      <c r="D40" s="333"/>
      <c r="E40" s="333"/>
      <c r="F40" s="333"/>
      <c r="G40" s="333"/>
      <c r="H40" s="333"/>
      <c r="I40" s="333"/>
      <c r="J40" s="333" t="s">
        <v>128</v>
      </c>
      <c r="K40" s="333"/>
      <c r="L40" s="333"/>
      <c r="M40" s="333"/>
    </row>
    <row r="41" spans="1:13" s="300" customFormat="1" ht="25" x14ac:dyDescent="0.35">
      <c r="A41" s="334" t="s">
        <v>315</v>
      </c>
      <c r="B41" s="333"/>
      <c r="C41" s="333"/>
      <c r="D41" s="333"/>
      <c r="E41" s="333"/>
      <c r="F41" s="333"/>
      <c r="G41" s="333"/>
      <c r="H41" s="333"/>
      <c r="I41" s="333"/>
      <c r="J41" s="333" t="s">
        <v>128</v>
      </c>
      <c r="K41" s="333"/>
      <c r="L41" s="333"/>
      <c r="M41" s="333"/>
    </row>
    <row r="42" spans="1:13" s="300" customFormat="1" ht="25" x14ac:dyDescent="0.35">
      <c r="A42" s="334" t="s">
        <v>316</v>
      </c>
      <c r="B42" s="333"/>
      <c r="C42" s="333"/>
      <c r="D42" s="333"/>
      <c r="E42" s="333"/>
      <c r="F42" s="333"/>
      <c r="G42" s="333"/>
      <c r="H42" s="333"/>
      <c r="I42" s="333"/>
      <c r="J42" s="333" t="s">
        <v>128</v>
      </c>
      <c r="K42" s="333"/>
      <c r="L42" s="333"/>
      <c r="M42" s="333"/>
    </row>
    <row r="43" spans="1:13" s="300" customFormat="1" ht="25" x14ac:dyDescent="0.35">
      <c r="A43" s="334" t="s">
        <v>317</v>
      </c>
      <c r="B43" s="333"/>
      <c r="C43" s="333"/>
      <c r="D43" s="333"/>
      <c r="E43" s="333"/>
      <c r="F43" s="333"/>
      <c r="G43" s="333"/>
      <c r="H43" s="333"/>
      <c r="I43" s="333"/>
      <c r="J43" s="333" t="s">
        <v>128</v>
      </c>
      <c r="K43" s="333"/>
      <c r="L43" s="333"/>
      <c r="M43" s="333"/>
    </row>
    <row r="44" spans="1:13" s="300" customFormat="1" ht="25" x14ac:dyDescent="0.35">
      <c r="A44" s="334" t="s">
        <v>318</v>
      </c>
      <c r="B44" s="333"/>
      <c r="C44" s="333"/>
      <c r="D44" s="333"/>
      <c r="E44" s="333"/>
      <c r="F44" s="333"/>
      <c r="G44" s="333"/>
      <c r="H44" s="333"/>
      <c r="I44" s="333"/>
      <c r="J44" s="333" t="s">
        <v>128</v>
      </c>
      <c r="K44" s="333"/>
      <c r="L44" s="333"/>
      <c r="M44" s="333"/>
    </row>
    <row r="45" spans="1:13" s="300" customFormat="1" ht="25" x14ac:dyDescent="0.35">
      <c r="A45" s="334" t="s">
        <v>319</v>
      </c>
      <c r="B45" s="333"/>
      <c r="C45" s="333"/>
      <c r="D45" s="333"/>
      <c r="E45" s="333"/>
      <c r="F45" s="333"/>
      <c r="G45" s="333"/>
      <c r="H45" s="333"/>
      <c r="I45" s="333"/>
      <c r="J45" s="333" t="s">
        <v>128</v>
      </c>
      <c r="K45" s="333"/>
      <c r="L45" s="333"/>
      <c r="M45" s="333"/>
    </row>
    <row r="46" spans="1:13" s="300" customFormat="1" ht="25" x14ac:dyDescent="0.35">
      <c r="A46" s="334" t="s">
        <v>320</v>
      </c>
      <c r="B46" s="333"/>
      <c r="C46" s="333"/>
      <c r="D46" s="333"/>
      <c r="E46" s="333"/>
      <c r="F46" s="333"/>
      <c r="G46" s="333"/>
      <c r="H46" s="333"/>
      <c r="I46" s="333"/>
      <c r="J46" s="333" t="s">
        <v>128</v>
      </c>
      <c r="K46" s="333"/>
      <c r="L46" s="333"/>
      <c r="M46" s="333"/>
    </row>
    <row r="47" spans="1:13" s="300" customFormat="1" ht="25" x14ac:dyDescent="0.35">
      <c r="A47" s="334" t="s">
        <v>321</v>
      </c>
      <c r="B47" s="333"/>
      <c r="C47" s="333"/>
      <c r="D47" s="333"/>
      <c r="E47" s="333"/>
      <c r="F47" s="333"/>
      <c r="G47" s="333"/>
      <c r="H47" s="333"/>
      <c r="I47" s="333"/>
      <c r="J47" s="333" t="s">
        <v>128</v>
      </c>
      <c r="K47" s="333"/>
      <c r="L47" s="333"/>
      <c r="M47" s="333"/>
    </row>
    <row r="48" spans="1:13" s="300" customFormat="1" x14ac:dyDescent="0.35">
      <c r="A48" s="334" t="s">
        <v>322</v>
      </c>
      <c r="B48" s="333"/>
      <c r="C48" s="333"/>
      <c r="D48" s="333"/>
      <c r="E48" s="333"/>
      <c r="F48" s="333"/>
      <c r="G48" s="333"/>
      <c r="H48" s="333"/>
      <c r="I48" s="333"/>
      <c r="J48" s="333" t="s">
        <v>128</v>
      </c>
      <c r="K48" s="333"/>
      <c r="L48" s="333"/>
      <c r="M48" s="333"/>
    </row>
    <row r="49" spans="1:13" s="300" customFormat="1" ht="25" x14ac:dyDescent="0.35">
      <c r="A49" s="334" t="s">
        <v>323</v>
      </c>
      <c r="B49" s="333"/>
      <c r="C49" s="333"/>
      <c r="D49" s="333"/>
      <c r="E49" s="333"/>
      <c r="F49" s="333"/>
      <c r="G49" s="333"/>
      <c r="H49" s="333"/>
      <c r="I49" s="333"/>
      <c r="J49" s="333" t="s">
        <v>128</v>
      </c>
      <c r="K49" s="333"/>
      <c r="L49" s="333"/>
      <c r="M49" s="333"/>
    </row>
    <row r="50" spans="1:13" s="300" customFormat="1" ht="25" x14ac:dyDescent="0.35">
      <c r="A50" s="334" t="s">
        <v>324</v>
      </c>
      <c r="B50" s="333"/>
      <c r="C50" s="333"/>
      <c r="D50" s="333"/>
      <c r="E50" s="333"/>
      <c r="F50" s="333"/>
      <c r="G50" s="333"/>
      <c r="H50" s="333"/>
      <c r="I50" s="333"/>
      <c r="J50" s="333" t="s">
        <v>128</v>
      </c>
      <c r="K50" s="333"/>
      <c r="L50" s="333"/>
      <c r="M50" s="333"/>
    </row>
    <row r="51" spans="1:13" s="300" customFormat="1" ht="25" x14ac:dyDescent="0.35">
      <c r="A51" s="334" t="s">
        <v>325</v>
      </c>
      <c r="B51" s="333"/>
      <c r="C51" s="333"/>
      <c r="D51" s="333"/>
      <c r="E51" s="333"/>
      <c r="F51" s="333"/>
      <c r="G51" s="333"/>
      <c r="H51" s="333"/>
      <c r="I51" s="333"/>
      <c r="J51" s="333" t="s">
        <v>128</v>
      </c>
      <c r="K51" s="333"/>
      <c r="L51" s="333"/>
      <c r="M51" s="333"/>
    </row>
    <row r="52" spans="1:13" s="300" customFormat="1" ht="25" x14ac:dyDescent="0.35">
      <c r="A52" s="334" t="s">
        <v>326</v>
      </c>
      <c r="B52" s="333"/>
      <c r="C52" s="333"/>
      <c r="D52" s="333"/>
      <c r="E52" s="333"/>
      <c r="F52" s="333"/>
      <c r="G52" s="333"/>
      <c r="H52" s="333"/>
      <c r="I52" s="333"/>
      <c r="J52" s="333" t="s">
        <v>128</v>
      </c>
      <c r="K52" s="333"/>
      <c r="L52" s="333"/>
      <c r="M52" s="333"/>
    </row>
    <row r="53" spans="1:13" s="300" customFormat="1" ht="25" x14ac:dyDescent="0.35">
      <c r="A53" s="334" t="s">
        <v>327</v>
      </c>
      <c r="B53" s="333"/>
      <c r="C53" s="333"/>
      <c r="D53" s="333"/>
      <c r="E53" s="333"/>
      <c r="F53" s="333"/>
      <c r="G53" s="333"/>
      <c r="H53" s="333"/>
      <c r="I53" s="333"/>
      <c r="J53" s="333" t="s">
        <v>128</v>
      </c>
      <c r="K53" s="333"/>
      <c r="L53" s="333"/>
      <c r="M53" s="333"/>
    </row>
    <row r="54" spans="1:13" s="300" customFormat="1" ht="25" x14ac:dyDescent="0.35">
      <c r="A54" s="334" t="s">
        <v>328</v>
      </c>
      <c r="B54" s="333"/>
      <c r="C54" s="333"/>
      <c r="D54" s="333"/>
      <c r="E54" s="333"/>
      <c r="F54" s="333"/>
      <c r="G54" s="333"/>
      <c r="H54" s="333"/>
      <c r="I54" s="333"/>
      <c r="J54" s="333"/>
      <c r="K54" s="333"/>
      <c r="L54" s="333"/>
      <c r="M54" s="333"/>
    </row>
    <row r="55" spans="1:13" s="300" customFormat="1" ht="21.75" customHeight="1" x14ac:dyDescent="0.35">
      <c r="A55" s="336" t="s">
        <v>329</v>
      </c>
      <c r="B55" s="333"/>
      <c r="C55" s="333"/>
      <c r="D55" s="333"/>
      <c r="E55" s="333"/>
      <c r="F55" s="333"/>
      <c r="G55" s="333"/>
      <c r="H55" s="333"/>
      <c r="I55" s="333"/>
      <c r="J55" s="333"/>
      <c r="K55" s="333"/>
      <c r="L55" s="333"/>
      <c r="M55" s="333"/>
    </row>
    <row r="56" spans="1:13" x14ac:dyDescent="0.25">
      <c r="A56" s="298"/>
      <c r="B56" s="297"/>
      <c r="C56" s="297"/>
      <c r="D56" s="297"/>
      <c r="E56" s="297"/>
      <c r="F56" s="297"/>
      <c r="G56" s="297"/>
      <c r="H56" s="297"/>
      <c r="I56" s="297"/>
      <c r="J56" s="297"/>
      <c r="K56" s="297"/>
      <c r="L56" s="297"/>
      <c r="M56" s="297"/>
    </row>
    <row r="57" spans="1:13" ht="14.5" x14ac:dyDescent="0.35">
      <c r="A57" s="343" t="s">
        <v>456</v>
      </c>
      <c r="B57" s="139" t="s">
        <v>77</v>
      </c>
      <c r="C57" s="344">
        <v>101</v>
      </c>
      <c r="D57"/>
      <c r="E57"/>
      <c r="F57"/>
      <c r="G57"/>
      <c r="H57"/>
      <c r="I57"/>
      <c r="J57"/>
      <c r="K57"/>
      <c r="L57" s="297"/>
      <c r="M57" s="297"/>
    </row>
    <row r="58" spans="1:13" ht="14.5" x14ac:dyDescent="0.35">
      <c r="A58"/>
      <c r="B58" s="139" t="s">
        <v>391</v>
      </c>
      <c r="C58" s="344">
        <v>83</v>
      </c>
      <c r="D58"/>
      <c r="E58"/>
      <c r="F58"/>
      <c r="G58"/>
      <c r="H58"/>
      <c r="I58"/>
      <c r="J58"/>
      <c r="K58"/>
    </row>
    <row r="59" spans="1:13" ht="14.5" x14ac:dyDescent="0.35">
      <c r="A59"/>
      <c r="B59" s="139" t="s">
        <v>184</v>
      </c>
      <c r="C59" s="344">
        <v>52</v>
      </c>
      <c r="D59"/>
      <c r="E59"/>
      <c r="F59"/>
      <c r="G59"/>
      <c r="H59"/>
      <c r="I59"/>
      <c r="J59"/>
      <c r="K59"/>
    </row>
    <row r="60" spans="1:13" ht="14.5" x14ac:dyDescent="0.35">
      <c r="A60"/>
      <c r="B60" s="139" t="s">
        <v>183</v>
      </c>
      <c r="C60" s="344">
        <v>51</v>
      </c>
      <c r="D60"/>
      <c r="E60"/>
      <c r="F60"/>
      <c r="G60"/>
      <c r="H60"/>
      <c r="I60"/>
      <c r="J60"/>
      <c r="K60"/>
    </row>
    <row r="61" spans="1:13" ht="14.5" x14ac:dyDescent="0.35">
      <c r="A61"/>
      <c r="B61" s="139" t="s">
        <v>94</v>
      </c>
      <c r="C61" s="344">
        <v>25</v>
      </c>
      <c r="D61"/>
      <c r="E61"/>
      <c r="F61"/>
      <c r="G61"/>
      <c r="H61"/>
      <c r="I61"/>
      <c r="J61"/>
      <c r="K61"/>
    </row>
    <row r="62" spans="1:13" ht="14.5" x14ac:dyDescent="0.35">
      <c r="A62"/>
      <c r="B62" s="139" t="s">
        <v>387</v>
      </c>
      <c r="C62" s="344">
        <v>21</v>
      </c>
      <c r="D62"/>
      <c r="E62"/>
      <c r="F62"/>
      <c r="G62"/>
      <c r="H62"/>
      <c r="I62"/>
      <c r="J62"/>
      <c r="K62"/>
    </row>
    <row r="63" spans="1:13" ht="14.5" x14ac:dyDescent="0.35">
      <c r="A63"/>
      <c r="B63" s="139" t="s">
        <v>182</v>
      </c>
      <c r="C63" s="344">
        <v>21</v>
      </c>
      <c r="D63"/>
      <c r="E63"/>
      <c r="F63"/>
      <c r="G63"/>
      <c r="H63"/>
      <c r="I63"/>
      <c r="J63"/>
      <c r="K63"/>
    </row>
    <row r="64" spans="1:13" ht="14.5" x14ac:dyDescent="0.35">
      <c r="A64"/>
      <c r="B64" s="139" t="s">
        <v>375</v>
      </c>
      <c r="C64" s="344">
        <v>22</v>
      </c>
      <c r="D64"/>
      <c r="E64"/>
      <c r="F64"/>
      <c r="G64"/>
      <c r="H64"/>
      <c r="I64"/>
      <c r="J64"/>
      <c r="K64"/>
    </row>
    <row r="65" spans="1:11" ht="14.5" x14ac:dyDescent="0.35">
      <c r="A65"/>
      <c r="B65" s="139" t="s">
        <v>181</v>
      </c>
      <c r="C65" s="344">
        <v>15</v>
      </c>
      <c r="D65"/>
      <c r="E65"/>
      <c r="F65"/>
      <c r="G65"/>
      <c r="H65"/>
      <c r="I65"/>
      <c r="J65"/>
      <c r="K65"/>
    </row>
    <row r="66" spans="1:11" ht="14.5" x14ac:dyDescent="0.35">
      <c r="A66"/>
      <c r="B66" s="139" t="s">
        <v>86</v>
      </c>
      <c r="C66" s="344">
        <v>10</v>
      </c>
      <c r="D66"/>
      <c r="E66"/>
      <c r="F66"/>
      <c r="G66"/>
      <c r="H66"/>
      <c r="I66"/>
      <c r="J66"/>
      <c r="K66"/>
    </row>
    <row r="67" spans="1:11" ht="14.5" x14ac:dyDescent="0.35">
      <c r="A67"/>
      <c r="B67" s="139" t="s">
        <v>376</v>
      </c>
      <c r="C67" s="344">
        <v>9</v>
      </c>
      <c r="D67"/>
      <c r="E67"/>
      <c r="F67"/>
      <c r="G67"/>
      <c r="H67"/>
      <c r="I67"/>
      <c r="J67"/>
      <c r="K67"/>
    </row>
    <row r="68" spans="1:11" ht="14.5" x14ac:dyDescent="0.35">
      <c r="A68"/>
      <c r="B68" s="139" t="s">
        <v>88</v>
      </c>
      <c r="C68" s="345">
        <v>4</v>
      </c>
      <c r="D68"/>
      <c r="E68"/>
      <c r="F68"/>
      <c r="G68"/>
      <c r="H68"/>
      <c r="I68"/>
      <c r="J68"/>
      <c r="K68"/>
    </row>
    <row r="69" spans="1:11" ht="14.5" x14ac:dyDescent="0.35">
      <c r="A69"/>
      <c r="B69" s="139" t="s">
        <v>426</v>
      </c>
      <c r="C69" s="344">
        <v>2</v>
      </c>
      <c r="D69"/>
      <c r="E69"/>
      <c r="F69"/>
      <c r="G69"/>
      <c r="H69"/>
      <c r="I69"/>
      <c r="J69"/>
      <c r="K69"/>
    </row>
    <row r="70" spans="1:11" ht="14.5" x14ac:dyDescent="0.35">
      <c r="A70"/>
      <c r="B70"/>
      <c r="C70"/>
      <c r="D70"/>
      <c r="E70"/>
      <c r="F70"/>
      <c r="G70"/>
      <c r="H70"/>
      <c r="I70"/>
      <c r="J70"/>
      <c r="K70"/>
    </row>
    <row r="71" spans="1:11" ht="101" x14ac:dyDescent="0.35">
      <c r="A71" s="343" t="s">
        <v>457</v>
      </c>
      <c r="B71"/>
      <c r="C71" s="186" t="s">
        <v>378</v>
      </c>
      <c r="D71" s="186" t="s">
        <v>379</v>
      </c>
      <c r="E71" s="186" t="s">
        <v>380</v>
      </c>
      <c r="F71" s="186" t="s">
        <v>381</v>
      </c>
      <c r="G71" s="346" t="s">
        <v>382</v>
      </c>
      <c r="H71" s="346" t="s">
        <v>383</v>
      </c>
      <c r="I71"/>
      <c r="J71"/>
      <c r="K71"/>
    </row>
    <row r="72" spans="1:11" ht="14.5" x14ac:dyDescent="0.35">
      <c r="A72" s="301" t="s">
        <v>378</v>
      </c>
      <c r="B72" s="139" t="s">
        <v>77</v>
      </c>
      <c r="C72" s="344">
        <v>8</v>
      </c>
      <c r="D72" s="344">
        <v>4</v>
      </c>
      <c r="E72" s="344">
        <v>2</v>
      </c>
      <c r="F72" s="344">
        <v>2</v>
      </c>
      <c r="G72" s="344">
        <v>60</v>
      </c>
      <c r="H72" s="344">
        <v>20</v>
      </c>
      <c r="I72"/>
      <c r="J72"/>
      <c r="K72"/>
    </row>
    <row r="73" spans="1:11" ht="14.5" x14ac:dyDescent="0.35">
      <c r="A73" s="188" t="s">
        <v>379</v>
      </c>
      <c r="B73" s="139" t="s">
        <v>391</v>
      </c>
      <c r="C73" s="344">
        <v>8</v>
      </c>
      <c r="D73" s="344">
        <v>4</v>
      </c>
      <c r="E73" s="344">
        <v>2</v>
      </c>
      <c r="F73" s="344">
        <v>2</v>
      </c>
      <c r="G73" s="344">
        <v>60</v>
      </c>
      <c r="H73" s="344">
        <v>20</v>
      </c>
      <c r="I73"/>
      <c r="J73"/>
      <c r="K73"/>
    </row>
    <row r="74" spans="1:11" ht="14.5" x14ac:dyDescent="0.35">
      <c r="A74" s="301" t="s">
        <v>380</v>
      </c>
      <c r="B74" s="139" t="s">
        <v>184</v>
      </c>
      <c r="C74" s="344">
        <v>6</v>
      </c>
      <c r="D74" s="344">
        <v>3</v>
      </c>
      <c r="E74" s="344">
        <v>1</v>
      </c>
      <c r="F74" s="344">
        <v>1</v>
      </c>
      <c r="G74" s="344">
        <v>60</v>
      </c>
      <c r="H74" s="344">
        <v>20</v>
      </c>
      <c r="I74"/>
      <c r="J74"/>
      <c r="K74"/>
    </row>
    <row r="75" spans="1:11" ht="14.5" x14ac:dyDescent="0.35">
      <c r="A75" s="301" t="s">
        <v>381</v>
      </c>
      <c r="B75" s="139" t="s">
        <v>183</v>
      </c>
      <c r="C75" s="344">
        <v>6</v>
      </c>
      <c r="D75" s="344">
        <v>3</v>
      </c>
      <c r="E75" s="344">
        <v>1</v>
      </c>
      <c r="F75" s="344">
        <v>1</v>
      </c>
      <c r="G75" s="344">
        <v>50</v>
      </c>
      <c r="H75" s="344">
        <v>20</v>
      </c>
      <c r="I75"/>
      <c r="J75"/>
      <c r="K75"/>
    </row>
    <row r="76" spans="1:11" ht="14.5" x14ac:dyDescent="0.35">
      <c r="A76" s="332" t="s">
        <v>382</v>
      </c>
      <c r="B76" s="139" t="s">
        <v>94</v>
      </c>
      <c r="C76" s="344">
        <v>3</v>
      </c>
      <c r="D76" s="344">
        <v>2</v>
      </c>
      <c r="E76" s="344">
        <v>1</v>
      </c>
      <c r="F76" s="344">
        <v>1</v>
      </c>
      <c r="G76" s="344">
        <v>50</v>
      </c>
      <c r="H76" s="344">
        <v>20</v>
      </c>
      <c r="I76"/>
      <c r="J76"/>
      <c r="K76"/>
    </row>
    <row r="77" spans="1:11" ht="14.5" x14ac:dyDescent="0.35">
      <c r="A77" s="332" t="s">
        <v>383</v>
      </c>
      <c r="B77" s="139" t="s">
        <v>387</v>
      </c>
      <c r="C77" s="344">
        <v>3</v>
      </c>
      <c r="D77" s="344">
        <v>2</v>
      </c>
      <c r="E77" s="344">
        <v>1</v>
      </c>
      <c r="F77" s="344">
        <v>1</v>
      </c>
      <c r="G77" s="344">
        <v>50</v>
      </c>
      <c r="H77" s="344">
        <v>20</v>
      </c>
      <c r="I77"/>
      <c r="J77"/>
      <c r="K77"/>
    </row>
    <row r="78" spans="1:11" ht="14.5" x14ac:dyDescent="0.35">
      <c r="A78"/>
      <c r="B78" s="139" t="s">
        <v>182</v>
      </c>
      <c r="C78" s="344">
        <v>3</v>
      </c>
      <c r="D78" s="344">
        <v>2</v>
      </c>
      <c r="E78" s="344">
        <v>1</v>
      </c>
      <c r="F78" s="344">
        <v>1</v>
      </c>
      <c r="G78" s="344">
        <v>50</v>
      </c>
      <c r="H78" s="344">
        <v>20</v>
      </c>
      <c r="I78"/>
      <c r="J78"/>
      <c r="K78"/>
    </row>
    <row r="79" spans="1:11" ht="14.5" x14ac:dyDescent="0.35">
      <c r="A79"/>
      <c r="B79" s="139" t="s">
        <v>375</v>
      </c>
      <c r="C79" s="344">
        <v>3</v>
      </c>
      <c r="D79" s="344">
        <v>2</v>
      </c>
      <c r="E79" s="344">
        <v>1</v>
      </c>
      <c r="F79" s="344">
        <v>1</v>
      </c>
      <c r="G79" s="344">
        <v>50</v>
      </c>
      <c r="H79" s="344">
        <v>20</v>
      </c>
      <c r="I79"/>
      <c r="J79"/>
      <c r="K79"/>
    </row>
    <row r="80" spans="1:11" ht="14.5" x14ac:dyDescent="0.35">
      <c r="A80"/>
      <c r="B80" s="139" t="s">
        <v>181</v>
      </c>
      <c r="C80" s="344">
        <v>3</v>
      </c>
      <c r="D80" s="344">
        <v>2</v>
      </c>
      <c r="E80" s="344">
        <v>1</v>
      </c>
      <c r="F80" s="344">
        <v>1</v>
      </c>
      <c r="G80" s="344">
        <v>50</v>
      </c>
      <c r="H80" s="344">
        <v>20</v>
      </c>
      <c r="I80"/>
      <c r="J80"/>
      <c r="K80"/>
    </row>
    <row r="81" spans="1:11" ht="14.5" x14ac:dyDescent="0.35">
      <c r="A81"/>
      <c r="B81" s="139" t="s">
        <v>86</v>
      </c>
      <c r="C81" s="344">
        <v>2</v>
      </c>
      <c r="D81" s="344">
        <v>1</v>
      </c>
      <c r="E81" s="344" t="s">
        <v>128</v>
      </c>
      <c r="F81" s="344" t="s">
        <v>128</v>
      </c>
      <c r="G81" s="344">
        <v>25</v>
      </c>
      <c r="H81" s="344">
        <v>10</v>
      </c>
      <c r="I81"/>
      <c r="J81"/>
      <c r="K81"/>
    </row>
    <row r="82" spans="1:11" ht="14.5" x14ac:dyDescent="0.35">
      <c r="A82"/>
      <c r="B82" s="139" t="s">
        <v>376</v>
      </c>
      <c r="C82" s="344">
        <v>1</v>
      </c>
      <c r="D82" s="344">
        <v>1</v>
      </c>
      <c r="E82" s="344" t="s">
        <v>128</v>
      </c>
      <c r="F82" s="344" t="s">
        <v>128</v>
      </c>
      <c r="G82" s="344">
        <v>15</v>
      </c>
      <c r="H82" s="344">
        <v>7</v>
      </c>
      <c r="I82"/>
      <c r="J82"/>
      <c r="K82"/>
    </row>
    <row r="83" spans="1:11" ht="14.5" x14ac:dyDescent="0.35">
      <c r="A83"/>
      <c r="B83" s="139" t="s">
        <v>88</v>
      </c>
      <c r="C83" s="345">
        <v>1</v>
      </c>
      <c r="D83" s="345">
        <v>1</v>
      </c>
      <c r="E83" s="344" t="s">
        <v>128</v>
      </c>
      <c r="F83" s="344" t="s">
        <v>128</v>
      </c>
      <c r="G83" s="345">
        <v>15</v>
      </c>
      <c r="H83" s="345">
        <v>6</v>
      </c>
      <c r="I83"/>
      <c r="J83"/>
      <c r="K83"/>
    </row>
    <row r="84" spans="1:11" ht="14.5" x14ac:dyDescent="0.35">
      <c r="A84"/>
      <c r="B84" s="139" t="s">
        <v>426</v>
      </c>
      <c r="C84" s="344">
        <v>1</v>
      </c>
      <c r="D84" s="344">
        <v>1</v>
      </c>
      <c r="E84" s="344" t="s">
        <v>128</v>
      </c>
      <c r="F84" s="344" t="s">
        <v>128</v>
      </c>
      <c r="G84" s="344">
        <v>15</v>
      </c>
      <c r="H84" s="344">
        <v>5</v>
      </c>
      <c r="I84"/>
      <c r="J84"/>
      <c r="K84"/>
    </row>
    <row r="85" spans="1:11" ht="14.5" x14ac:dyDescent="0.35">
      <c r="A85"/>
      <c r="B85"/>
      <c r="C85"/>
      <c r="D85"/>
      <c r="E85"/>
      <c r="F85"/>
      <c r="G85"/>
      <c r="H85"/>
      <c r="I85"/>
      <c r="J85"/>
      <c r="K85"/>
    </row>
    <row r="86" spans="1:11" ht="14.5" x14ac:dyDescent="0.35">
      <c r="A86" s="343" t="s">
        <v>458</v>
      </c>
      <c r="B86" s="139" t="s">
        <v>77</v>
      </c>
      <c r="C86" s="344">
        <v>8</v>
      </c>
      <c r="D86"/>
      <c r="E86"/>
      <c r="F86"/>
      <c r="G86"/>
      <c r="H86"/>
      <c r="I86"/>
      <c r="J86"/>
      <c r="K86"/>
    </row>
    <row r="87" spans="1:11" ht="14.5" x14ac:dyDescent="0.35">
      <c r="A87"/>
      <c r="B87" s="139" t="s">
        <v>391</v>
      </c>
      <c r="C87" s="344">
        <v>8</v>
      </c>
      <c r="D87"/>
      <c r="E87"/>
      <c r="F87"/>
      <c r="G87"/>
      <c r="H87"/>
      <c r="I87"/>
      <c r="J87"/>
      <c r="K87"/>
    </row>
    <row r="88" spans="1:11" ht="14.5" x14ac:dyDescent="0.35">
      <c r="A88"/>
      <c r="B88" s="139" t="s">
        <v>184</v>
      </c>
      <c r="C88" s="344">
        <v>8</v>
      </c>
      <c r="D88"/>
      <c r="E88"/>
      <c r="F88"/>
      <c r="G88"/>
      <c r="H88"/>
      <c r="I88"/>
      <c r="J88"/>
      <c r="K88"/>
    </row>
    <row r="89" spans="1:11" ht="14.5" x14ac:dyDescent="0.35">
      <c r="A89"/>
      <c r="B89" s="139" t="s">
        <v>183</v>
      </c>
      <c r="C89" s="344">
        <v>8</v>
      </c>
      <c r="D89"/>
      <c r="E89"/>
      <c r="F89"/>
      <c r="G89"/>
      <c r="H89"/>
      <c r="I89"/>
      <c r="J89"/>
      <c r="K89"/>
    </row>
    <row r="90" spans="1:11" ht="14.5" x14ac:dyDescent="0.35">
      <c r="A90"/>
      <c r="B90" s="139" t="s">
        <v>94</v>
      </c>
      <c r="C90" s="344">
        <v>6</v>
      </c>
      <c r="D90"/>
      <c r="E90"/>
      <c r="F90"/>
      <c r="G90"/>
      <c r="H90"/>
      <c r="I90"/>
      <c r="J90"/>
      <c r="K90"/>
    </row>
    <row r="91" spans="1:11" ht="14.5" x14ac:dyDescent="0.35">
      <c r="A91"/>
      <c r="B91" s="139" t="s">
        <v>387</v>
      </c>
      <c r="C91" s="344">
        <v>6</v>
      </c>
      <c r="D91"/>
      <c r="E91"/>
      <c r="F91"/>
      <c r="G91"/>
      <c r="H91"/>
      <c r="I91"/>
      <c r="J91"/>
      <c r="K91"/>
    </row>
    <row r="92" spans="1:11" ht="14.5" x14ac:dyDescent="0.35">
      <c r="A92"/>
      <c r="B92" s="139" t="s">
        <v>182</v>
      </c>
      <c r="C92" s="344">
        <v>6</v>
      </c>
      <c r="D92"/>
      <c r="E92"/>
      <c r="F92"/>
      <c r="G92"/>
      <c r="H92"/>
      <c r="I92"/>
      <c r="J92"/>
      <c r="K92"/>
    </row>
    <row r="93" spans="1:11" ht="14.5" x14ac:dyDescent="0.35">
      <c r="A93"/>
      <c r="B93" s="139" t="s">
        <v>375</v>
      </c>
      <c r="C93" s="344">
        <v>5</v>
      </c>
      <c r="D93"/>
      <c r="E93"/>
      <c r="F93"/>
      <c r="G93"/>
      <c r="H93"/>
      <c r="I93"/>
      <c r="J93"/>
      <c r="K93"/>
    </row>
    <row r="94" spans="1:11" ht="14.5" x14ac:dyDescent="0.35">
      <c r="A94"/>
      <c r="B94" s="139" t="s">
        <v>181</v>
      </c>
      <c r="C94" s="344">
        <v>5</v>
      </c>
      <c r="D94"/>
      <c r="E94"/>
      <c r="F94"/>
      <c r="G94"/>
      <c r="H94"/>
      <c r="I94"/>
      <c r="J94"/>
      <c r="K94"/>
    </row>
    <row r="95" spans="1:11" ht="14.5" x14ac:dyDescent="0.35">
      <c r="A95"/>
      <c r="B95" s="139" t="s">
        <v>86</v>
      </c>
      <c r="C95" s="344">
        <v>3</v>
      </c>
      <c r="D95"/>
      <c r="E95"/>
      <c r="F95"/>
      <c r="G95"/>
      <c r="H95"/>
      <c r="I95"/>
      <c r="J95"/>
      <c r="K95"/>
    </row>
    <row r="96" spans="1:11" ht="14.5" x14ac:dyDescent="0.35">
      <c r="A96"/>
      <c r="B96" s="139" t="s">
        <v>376</v>
      </c>
      <c r="C96" s="344" t="s">
        <v>128</v>
      </c>
      <c r="D96"/>
      <c r="E96"/>
      <c r="F96"/>
      <c r="G96"/>
      <c r="H96"/>
      <c r="I96"/>
      <c r="J96"/>
      <c r="K96"/>
    </row>
    <row r="97" spans="1:11" ht="14.5" x14ac:dyDescent="0.35">
      <c r="A97"/>
      <c r="B97" s="139" t="s">
        <v>88</v>
      </c>
      <c r="C97" s="345" t="s">
        <v>128</v>
      </c>
      <c r="D97"/>
      <c r="E97"/>
      <c r="F97"/>
      <c r="G97"/>
      <c r="H97"/>
      <c r="I97"/>
      <c r="J97"/>
      <c r="K97"/>
    </row>
    <row r="98" spans="1:11" ht="14.5" x14ac:dyDescent="0.35">
      <c r="A98"/>
      <c r="B98" s="139" t="s">
        <v>426</v>
      </c>
      <c r="C98" s="344" t="s">
        <v>128</v>
      </c>
      <c r="D98"/>
      <c r="E98"/>
      <c r="F98"/>
      <c r="G98"/>
      <c r="H98"/>
      <c r="I98"/>
      <c r="J98"/>
      <c r="K98"/>
    </row>
    <row r="99" spans="1:11" ht="14.5" x14ac:dyDescent="0.35">
      <c r="A99"/>
      <c r="B99"/>
      <c r="C99"/>
      <c r="D99"/>
      <c r="E99"/>
      <c r="F99"/>
      <c r="G99"/>
      <c r="H99"/>
      <c r="I99"/>
      <c r="J99"/>
      <c r="K99"/>
    </row>
    <row r="100" spans="1:11" ht="14.5" x14ac:dyDescent="0.35">
      <c r="A100" s="343" t="s">
        <v>459</v>
      </c>
      <c r="B100" s="139" t="s">
        <v>77</v>
      </c>
      <c r="C100" s="344">
        <v>18</v>
      </c>
      <c r="D100"/>
      <c r="E100"/>
      <c r="F100"/>
      <c r="G100"/>
      <c r="H100"/>
      <c r="I100"/>
      <c r="J100"/>
      <c r="K100"/>
    </row>
    <row r="101" spans="1:11" ht="14.5" x14ac:dyDescent="0.35">
      <c r="A101"/>
      <c r="B101" s="139" t="s">
        <v>391</v>
      </c>
      <c r="C101" s="344">
        <v>18</v>
      </c>
      <c r="D101"/>
      <c r="E101"/>
      <c r="F101"/>
      <c r="G101"/>
      <c r="H101"/>
      <c r="I101"/>
      <c r="J101"/>
      <c r="K101"/>
    </row>
    <row r="102" spans="1:11" ht="14.5" x14ac:dyDescent="0.35">
      <c r="A102"/>
      <c r="B102" s="139" t="s">
        <v>184</v>
      </c>
      <c r="C102" s="344">
        <v>18</v>
      </c>
      <c r="D102"/>
      <c r="E102"/>
      <c r="F102"/>
      <c r="G102"/>
      <c r="H102"/>
      <c r="I102"/>
      <c r="J102"/>
      <c r="K102"/>
    </row>
    <row r="103" spans="1:11" ht="14.5" x14ac:dyDescent="0.35">
      <c r="A103"/>
      <c r="B103" s="139" t="s">
        <v>183</v>
      </c>
      <c r="C103" s="344">
        <v>18</v>
      </c>
      <c r="D103"/>
      <c r="E103"/>
      <c r="F103"/>
      <c r="G103"/>
      <c r="H103"/>
      <c r="I103"/>
      <c r="J103"/>
      <c r="K103"/>
    </row>
    <row r="104" spans="1:11" ht="14.5" x14ac:dyDescent="0.35">
      <c r="A104"/>
      <c r="B104" s="139" t="s">
        <v>94</v>
      </c>
      <c r="C104" s="344">
        <v>6</v>
      </c>
      <c r="D104"/>
      <c r="E104"/>
      <c r="F104"/>
      <c r="G104"/>
      <c r="H104"/>
      <c r="I104"/>
      <c r="J104"/>
      <c r="K104"/>
    </row>
    <row r="105" spans="1:11" ht="14.5" x14ac:dyDescent="0.35">
      <c r="A105"/>
      <c r="B105" s="139" t="s">
        <v>387</v>
      </c>
      <c r="C105" s="344">
        <v>15</v>
      </c>
      <c r="D105"/>
      <c r="E105"/>
      <c r="F105"/>
      <c r="G105"/>
      <c r="H105"/>
      <c r="I105"/>
      <c r="J105"/>
      <c r="K105"/>
    </row>
    <row r="106" spans="1:11" ht="14.5" x14ac:dyDescent="0.35">
      <c r="A106"/>
      <c r="B106" s="139" t="s">
        <v>182</v>
      </c>
      <c r="C106" s="344">
        <v>15</v>
      </c>
      <c r="D106"/>
      <c r="E106"/>
      <c r="F106"/>
      <c r="G106"/>
      <c r="H106"/>
      <c r="I106"/>
      <c r="J106"/>
      <c r="K106"/>
    </row>
    <row r="107" spans="1:11" ht="14.5" x14ac:dyDescent="0.35">
      <c r="A107"/>
      <c r="B107" s="139" t="s">
        <v>375</v>
      </c>
      <c r="C107" s="344">
        <v>3</v>
      </c>
      <c r="D107"/>
      <c r="E107"/>
      <c r="F107"/>
      <c r="G107"/>
      <c r="H107"/>
      <c r="I107"/>
      <c r="J107"/>
      <c r="K107"/>
    </row>
    <row r="108" spans="1:11" ht="14.5" x14ac:dyDescent="0.35">
      <c r="A108"/>
      <c r="B108" s="139" t="s">
        <v>181</v>
      </c>
      <c r="C108" s="344">
        <v>3</v>
      </c>
      <c r="D108"/>
      <c r="E108"/>
      <c r="F108"/>
      <c r="G108"/>
      <c r="H108"/>
      <c r="I108"/>
      <c r="J108"/>
      <c r="K108"/>
    </row>
    <row r="109" spans="1:11" ht="14.5" x14ac:dyDescent="0.35">
      <c r="A109"/>
      <c r="B109" s="139" t="s">
        <v>86</v>
      </c>
      <c r="C109" s="344">
        <v>1</v>
      </c>
      <c r="D109"/>
      <c r="E109"/>
      <c r="F109"/>
      <c r="G109"/>
      <c r="H109"/>
      <c r="I109"/>
      <c r="J109"/>
      <c r="K109"/>
    </row>
    <row r="110" spans="1:11" ht="14.5" x14ac:dyDescent="0.35">
      <c r="A110"/>
      <c r="B110" s="139" t="s">
        <v>376</v>
      </c>
      <c r="C110" s="344" t="s">
        <v>128</v>
      </c>
      <c r="D110"/>
      <c r="E110"/>
      <c r="F110"/>
      <c r="G110"/>
      <c r="H110"/>
      <c r="I110"/>
      <c r="J110"/>
      <c r="K110"/>
    </row>
    <row r="111" spans="1:11" ht="14.5" x14ac:dyDescent="0.35">
      <c r="A111"/>
      <c r="B111" s="139" t="s">
        <v>88</v>
      </c>
      <c r="C111" s="345" t="s">
        <v>128</v>
      </c>
      <c r="D111"/>
      <c r="E111"/>
      <c r="F111"/>
      <c r="G111"/>
      <c r="H111"/>
      <c r="I111"/>
      <c r="J111"/>
      <c r="K111"/>
    </row>
    <row r="112" spans="1:11" ht="14.5" x14ac:dyDescent="0.35">
      <c r="A112"/>
      <c r="B112" s="139" t="s">
        <v>426</v>
      </c>
      <c r="C112" s="344" t="s">
        <v>128</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B9"/>
  <sheetViews>
    <sheetView zoomScaleNormal="100" zoomScaleSheetLayoutView="106" workbookViewId="0">
      <selection activeCell="A8" sqref="A8"/>
    </sheetView>
  </sheetViews>
  <sheetFormatPr defaultColWidth="9.1796875" defaultRowHeight="74.25" customHeight="1" x14ac:dyDescent="0.35"/>
  <cols>
    <col min="1" max="1" width="112" style="41" customWidth="1"/>
    <col min="2" max="16384" width="9.1796875" style="41"/>
  </cols>
  <sheetData>
    <row r="1" spans="1:2" ht="49.5" customHeight="1" x14ac:dyDescent="0.35">
      <c r="A1" s="451" t="s">
        <v>43</v>
      </c>
    </row>
    <row r="2" spans="1:2" ht="93" x14ac:dyDescent="0.35">
      <c r="A2" s="452" t="s">
        <v>448</v>
      </c>
    </row>
    <row r="3" spans="1:2" ht="86.25" customHeight="1" x14ac:dyDescent="0.35">
      <c r="A3" s="452" t="s">
        <v>476</v>
      </c>
      <c r="B3" s="450"/>
    </row>
    <row r="4" spans="1:2" ht="51" customHeight="1" x14ac:dyDescent="0.35">
      <c r="A4" s="563" t="s">
        <v>477</v>
      </c>
    </row>
    <row r="5" spans="1:2" ht="49.5" customHeight="1" x14ac:dyDescent="0.35">
      <c r="A5" s="563" t="s">
        <v>478</v>
      </c>
    </row>
    <row r="6" spans="1:2" ht="70.5" customHeight="1" x14ac:dyDescent="0.35">
      <c r="A6" s="452" t="s">
        <v>446</v>
      </c>
    </row>
    <row r="7" spans="1:2" ht="81" customHeight="1" x14ac:dyDescent="0.35">
      <c r="A7" s="563" t="s">
        <v>479</v>
      </c>
    </row>
    <row r="8" spans="1:2" ht="83.25" customHeight="1" x14ac:dyDescent="0.35">
      <c r="A8" s="563" t="s">
        <v>480</v>
      </c>
    </row>
    <row r="9" spans="1:2" ht="66" customHeight="1" x14ac:dyDescent="0.35">
      <c r="A9" s="452" t="s">
        <v>447</v>
      </c>
    </row>
  </sheetData>
  <pageMargins left="0.7" right="0.7" top="0.75" bottom="0.75" header="0.3" footer="0.3"/>
  <pageSetup orientation="portrait" r:id="rId1"/>
  <headerFooter>
    <oddHeader>&amp;LPosition Descriptions</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topLeftCell="A4" zoomScaleNormal="100" workbookViewId="0">
      <selection activeCell="B7" sqref="B7"/>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582" t="s">
        <v>460</v>
      </c>
      <c r="B1" s="582"/>
      <c r="C1" s="203"/>
    </row>
    <row r="2" spans="1:3" ht="165" customHeight="1" x14ac:dyDescent="0.35">
      <c r="A2" s="582" t="s">
        <v>463</v>
      </c>
      <c r="B2" s="582"/>
    </row>
    <row r="3" spans="1:3" ht="129.75" customHeight="1" x14ac:dyDescent="0.35">
      <c r="A3" s="584" t="s">
        <v>461</v>
      </c>
      <c r="B3" s="584"/>
    </row>
    <row r="4" spans="1:3" ht="155.25" customHeight="1" x14ac:dyDescent="0.35">
      <c r="A4" s="584" t="s">
        <v>465</v>
      </c>
      <c r="B4" s="584"/>
    </row>
    <row r="5" spans="1:3" ht="137.25" customHeight="1" x14ac:dyDescent="0.35">
      <c r="A5" s="583" t="s">
        <v>468</v>
      </c>
      <c r="B5" s="583"/>
    </row>
    <row r="6" spans="1:3" ht="87" customHeight="1" x14ac:dyDescent="0.35">
      <c r="A6" s="583" t="s">
        <v>462</v>
      </c>
      <c r="B6" s="583"/>
    </row>
    <row r="7" spans="1:3" ht="53.25" customHeight="1" x14ac:dyDescent="0.35">
      <c r="A7" s="211"/>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C5" sqref="C5"/>
    </sheetView>
  </sheetViews>
  <sheetFormatPr defaultRowHeight="15.5" x14ac:dyDescent="0.35"/>
  <cols>
    <col min="1" max="1" width="69.453125" style="15" customWidth="1"/>
    <col min="2" max="2" width="17.26953125" style="15" customWidth="1"/>
    <col min="3" max="3" width="13.1796875" style="236" customWidth="1"/>
    <col min="4" max="4" width="12.7265625" style="236" customWidth="1"/>
    <col min="5" max="7" width="17.7265625" style="15" customWidth="1"/>
    <col min="8" max="8" width="9.1796875" style="123" customWidth="1"/>
  </cols>
  <sheetData>
    <row r="1" spans="1:17" x14ac:dyDescent="0.35">
      <c r="E1" s="371" t="s">
        <v>414</v>
      </c>
    </row>
    <row r="2" spans="1:17" s="1" customFormat="1" x14ac:dyDescent="0.35">
      <c r="A2" s="38" t="s">
        <v>31</v>
      </c>
      <c r="B2" s="38"/>
      <c r="C2" s="237"/>
      <c r="E2" s="406" t="str">
        <f>ship_type</f>
        <v>LSD</v>
      </c>
      <c r="F2" s="38"/>
      <c r="G2" s="38"/>
      <c r="H2" s="38"/>
    </row>
    <row r="3" spans="1:17" s="1" customFormat="1" x14ac:dyDescent="0.35">
      <c r="A3" s="233"/>
      <c r="B3" s="233"/>
      <c r="C3" s="237"/>
      <c r="D3" s="407" t="s">
        <v>427</v>
      </c>
      <c r="E3" s="233"/>
      <c r="F3" s="233"/>
      <c r="G3" s="233"/>
      <c r="H3" s="233"/>
    </row>
    <row r="4" spans="1:17" s="5" customFormat="1" ht="19.5" customHeight="1" x14ac:dyDescent="0.35">
      <c r="A4" s="53" t="s">
        <v>44</v>
      </c>
      <c r="B4" s="51"/>
      <c r="C4" s="52"/>
      <c r="D4" s="40"/>
    </row>
    <row r="5" spans="1:17" s="5" customFormat="1" ht="36.75" customHeight="1" x14ac:dyDescent="0.35">
      <c r="A5" s="585" t="s">
        <v>483</v>
      </c>
      <c r="B5" s="585"/>
      <c r="C5" s="215"/>
      <c r="D5" s="228"/>
    </row>
    <row r="6" spans="1:17" s="5" customFormat="1" ht="36.75" customHeight="1" x14ac:dyDescent="0.35">
      <c r="A6" s="585" t="s">
        <v>482</v>
      </c>
      <c r="B6" s="585"/>
      <c r="C6" s="215"/>
      <c r="D6" s="228"/>
    </row>
    <row r="7" spans="1:17" ht="16.5" hidden="1" thickTop="1" thickBot="1" x14ac:dyDescent="0.4">
      <c r="A7" s="213"/>
      <c r="B7" s="125" t="s">
        <v>227</v>
      </c>
      <c r="C7" s="126"/>
      <c r="D7" s="132" t="s">
        <v>25</v>
      </c>
      <c r="E7" s="132"/>
      <c r="F7" s="132"/>
      <c r="G7" s="132"/>
      <c r="H7" s="126"/>
    </row>
    <row r="8" spans="1:17" s="18" customFormat="1" ht="16.5" hidden="1" customHeight="1" thickTop="1" x14ac:dyDescent="0.35">
      <c r="A8" s="133" t="s">
        <v>109</v>
      </c>
      <c r="B8" s="384"/>
      <c r="C8" s="119"/>
      <c r="D8" s="119"/>
      <c r="E8" s="121"/>
      <c r="F8" s="121"/>
      <c r="G8" s="121"/>
      <c r="H8" s="121"/>
      <c r="J8" s="78"/>
      <c r="K8" s="78"/>
      <c r="L8" s="78"/>
      <c r="M8" s="78"/>
      <c r="N8" s="78"/>
      <c r="O8" s="78"/>
      <c r="P8" s="78"/>
      <c r="Q8" s="78"/>
    </row>
    <row r="9" spans="1:17" s="18" customFormat="1" ht="16.5" hidden="1" customHeight="1" x14ac:dyDescent="0.35">
      <c r="A9" s="149" t="s">
        <v>113</v>
      </c>
      <c r="B9" s="385"/>
      <c r="C9" s="119"/>
      <c r="D9" s="119"/>
      <c r="E9" s="121"/>
      <c r="F9" s="121"/>
      <c r="G9" s="121"/>
      <c r="H9" s="121"/>
      <c r="J9" s="78"/>
      <c r="K9" s="78"/>
      <c r="L9" s="78"/>
      <c r="M9" s="78"/>
      <c r="N9" s="78"/>
      <c r="O9" s="78"/>
      <c r="P9" s="78"/>
      <c r="Q9" s="78"/>
    </row>
    <row r="10" spans="1:17" s="18" customFormat="1" ht="17.149999999999999" hidden="1" customHeight="1" x14ac:dyDescent="0.35">
      <c r="A10" s="128" t="s">
        <v>115</v>
      </c>
      <c r="B10" s="265" t="b">
        <v>0</v>
      </c>
      <c r="C10" s="241"/>
      <c r="D10" s="239">
        <f>IF(B10,C10,0)</f>
        <v>0</v>
      </c>
      <c r="E10" s="120"/>
      <c r="F10" s="120"/>
      <c r="G10" s="120"/>
      <c r="H10" s="120"/>
      <c r="J10" s="78"/>
      <c r="K10" s="78"/>
      <c r="L10" s="78"/>
      <c r="M10" s="78"/>
      <c r="N10" s="78"/>
      <c r="O10" s="78"/>
      <c r="P10" s="78"/>
      <c r="Q10" s="78"/>
    </row>
    <row r="11" spans="1:17" s="18" customFormat="1" ht="17.149999999999999" hidden="1" customHeight="1" x14ac:dyDescent="0.35">
      <c r="A11" s="128" t="s">
        <v>116</v>
      </c>
      <c r="B11" s="265" t="b">
        <v>0</v>
      </c>
      <c r="C11" s="241"/>
      <c r="D11" s="239">
        <f t="shared" ref="D11:D32" si="0">IF(B11,C11,0)</f>
        <v>0</v>
      </c>
      <c r="E11" s="121"/>
      <c r="F11" s="121"/>
      <c r="G11" s="121"/>
      <c r="H11" s="121"/>
      <c r="J11" s="78"/>
      <c r="K11" s="78"/>
      <c r="L11" s="78"/>
      <c r="M11" s="78"/>
      <c r="N11" s="78"/>
      <c r="O11" s="78"/>
      <c r="P11" s="78"/>
      <c r="Q11" s="78"/>
    </row>
    <row r="12" spans="1:17" s="18" customFormat="1" ht="17.149999999999999" hidden="1" customHeight="1" x14ac:dyDescent="0.35">
      <c r="A12" s="128" t="s">
        <v>121</v>
      </c>
      <c r="B12" s="265" t="b">
        <v>0</v>
      </c>
      <c r="C12" s="241"/>
      <c r="D12" s="239">
        <f t="shared" si="0"/>
        <v>0</v>
      </c>
      <c r="E12" s="120"/>
      <c r="F12" s="120"/>
      <c r="G12" s="120"/>
      <c r="H12" s="120"/>
      <c r="J12" s="78"/>
      <c r="K12" s="78"/>
      <c r="L12" s="78"/>
      <c r="M12" s="78"/>
      <c r="N12" s="78"/>
      <c r="O12" s="78"/>
      <c r="P12" s="78"/>
      <c r="Q12" s="78"/>
    </row>
    <row r="13" spans="1:17" s="18" customFormat="1" ht="17.149999999999999" hidden="1" customHeight="1" x14ac:dyDescent="0.35">
      <c r="A13" s="128" t="s">
        <v>122</v>
      </c>
      <c r="B13" s="265" t="b">
        <v>0</v>
      </c>
      <c r="C13" s="242"/>
      <c r="D13" s="239">
        <f t="shared" si="0"/>
        <v>0</v>
      </c>
      <c r="E13" s="122"/>
      <c r="F13" s="122"/>
      <c r="G13" s="122"/>
      <c r="H13" s="122"/>
      <c r="J13" s="78"/>
      <c r="K13" s="78"/>
      <c r="L13" s="78"/>
      <c r="M13" s="78"/>
      <c r="N13" s="78"/>
      <c r="O13" s="78"/>
      <c r="P13" s="78"/>
      <c r="Q13" s="78"/>
    </row>
    <row r="14" spans="1:17" s="18" customFormat="1" ht="17.149999999999999" hidden="1" customHeight="1" x14ac:dyDescent="0.35">
      <c r="A14" s="128" t="s">
        <v>119</v>
      </c>
      <c r="B14" s="265" t="b">
        <v>0</v>
      </c>
      <c r="C14" s="242"/>
      <c r="D14" s="239">
        <f t="shared" si="0"/>
        <v>0</v>
      </c>
      <c r="E14" s="122"/>
      <c r="F14" s="122"/>
      <c r="G14" s="122"/>
      <c r="H14" s="122"/>
      <c r="J14" s="78"/>
      <c r="K14" s="78"/>
      <c r="L14" s="78"/>
      <c r="M14" s="78"/>
      <c r="N14" s="78"/>
      <c r="O14" s="78"/>
      <c r="P14" s="78"/>
      <c r="Q14" s="78"/>
    </row>
    <row r="15" spans="1:17" s="18" customFormat="1" ht="17.149999999999999" hidden="1" customHeight="1" x14ac:dyDescent="0.35">
      <c r="A15" s="128" t="s">
        <v>119</v>
      </c>
      <c r="B15" s="265" t="b">
        <v>0</v>
      </c>
      <c r="C15" s="242"/>
      <c r="D15" s="239">
        <f t="shared" si="0"/>
        <v>0</v>
      </c>
      <c r="E15" s="122"/>
      <c r="F15" s="122"/>
      <c r="G15" s="122"/>
      <c r="H15" s="122"/>
      <c r="J15" s="78"/>
      <c r="K15" s="78"/>
      <c r="L15" s="78"/>
      <c r="M15" s="78"/>
      <c r="N15" s="78"/>
      <c r="O15" s="78"/>
      <c r="P15" s="78"/>
      <c r="Q15" s="78"/>
    </row>
    <row r="16" spans="1:17" s="18" customFormat="1" ht="17.149999999999999" hidden="1" customHeight="1" x14ac:dyDescent="0.35">
      <c r="A16" s="128" t="s">
        <v>118</v>
      </c>
      <c r="B16" s="265" t="b">
        <v>0</v>
      </c>
      <c r="C16" s="242"/>
      <c r="D16" s="239">
        <f t="shared" si="0"/>
        <v>0</v>
      </c>
      <c r="E16" s="122"/>
      <c r="F16" s="122"/>
      <c r="G16" s="122"/>
      <c r="H16" s="122"/>
      <c r="J16" s="78"/>
      <c r="K16" s="78"/>
      <c r="L16" s="78"/>
      <c r="M16" s="78"/>
      <c r="N16" s="78"/>
      <c r="O16" s="78"/>
      <c r="P16" s="78"/>
      <c r="Q16" s="78"/>
    </row>
    <row r="17" spans="1:17" s="18" customFormat="1" ht="17.149999999999999" hidden="1" customHeight="1" x14ac:dyDescent="0.35">
      <c r="A17" s="128" t="s">
        <v>118</v>
      </c>
      <c r="B17" s="265" t="b">
        <v>0</v>
      </c>
      <c r="C17" s="242"/>
      <c r="D17" s="239">
        <f t="shared" si="0"/>
        <v>0</v>
      </c>
      <c r="E17" s="122"/>
      <c r="F17" s="122"/>
      <c r="G17" s="122"/>
      <c r="H17" s="122"/>
      <c r="J17" s="78"/>
      <c r="K17" s="78"/>
      <c r="L17" s="78"/>
      <c r="M17" s="78"/>
      <c r="N17" s="78"/>
      <c r="O17" s="78"/>
      <c r="P17" s="78"/>
      <c r="Q17" s="78"/>
    </row>
    <row r="18" spans="1:17" s="18" customFormat="1" ht="17.149999999999999" hidden="1" customHeight="1" x14ac:dyDescent="0.35">
      <c r="A18" s="128" t="s">
        <v>118</v>
      </c>
      <c r="B18" s="265" t="b">
        <v>0</v>
      </c>
      <c r="C18" s="242"/>
      <c r="D18" s="239">
        <f t="shared" si="0"/>
        <v>0</v>
      </c>
      <c r="E18" s="122"/>
      <c r="F18" s="122"/>
      <c r="G18" s="122"/>
      <c r="H18" s="122"/>
      <c r="J18" s="78"/>
      <c r="K18" s="78"/>
      <c r="L18" s="78"/>
      <c r="M18" s="78"/>
      <c r="N18" s="78"/>
      <c r="O18" s="78"/>
      <c r="P18" s="78"/>
      <c r="Q18" s="78"/>
    </row>
    <row r="19" spans="1:17" s="18" customFormat="1" ht="17.149999999999999" hidden="1" customHeight="1" x14ac:dyDescent="0.35">
      <c r="A19" s="128" t="s">
        <v>118</v>
      </c>
      <c r="B19" s="265" t="b">
        <v>0</v>
      </c>
      <c r="C19" s="243"/>
      <c r="D19" s="239">
        <f t="shared" si="0"/>
        <v>0</v>
      </c>
      <c r="E19" s="122"/>
      <c r="F19" s="122"/>
      <c r="G19" s="122"/>
      <c r="H19" s="122"/>
      <c r="J19" s="78"/>
      <c r="K19" s="78"/>
      <c r="L19" s="78"/>
      <c r="M19" s="78"/>
      <c r="N19" s="78"/>
      <c r="O19" s="78"/>
      <c r="P19" s="78"/>
      <c r="Q19" s="78"/>
    </row>
    <row r="20" spans="1:17" s="18" customFormat="1" ht="17.149999999999999" hidden="1" customHeight="1" x14ac:dyDescent="0.35">
      <c r="A20" s="128" t="s">
        <v>118</v>
      </c>
      <c r="B20" s="265" t="b">
        <v>0</v>
      </c>
      <c r="C20" s="242"/>
      <c r="D20" s="239">
        <f t="shared" si="0"/>
        <v>0</v>
      </c>
      <c r="E20" s="122"/>
      <c r="F20" s="122"/>
      <c r="G20" s="122"/>
      <c r="H20" s="122"/>
      <c r="J20" s="78"/>
      <c r="K20" s="78"/>
      <c r="L20" s="78"/>
      <c r="M20" s="78"/>
      <c r="N20" s="78"/>
      <c r="O20" s="78"/>
      <c r="P20" s="78"/>
      <c r="Q20" s="78"/>
    </row>
    <row r="21" spans="1:17" s="18" customFormat="1" ht="17.149999999999999" hidden="1" customHeight="1" x14ac:dyDescent="0.35">
      <c r="A21" s="128" t="s">
        <v>118</v>
      </c>
      <c r="B21" s="265" t="b">
        <v>0</v>
      </c>
      <c r="C21" s="242"/>
      <c r="D21" s="239">
        <f t="shared" si="0"/>
        <v>0</v>
      </c>
      <c r="E21" s="122"/>
      <c r="F21" s="122"/>
      <c r="G21" s="122"/>
      <c r="H21" s="122"/>
      <c r="J21" s="78"/>
      <c r="K21" s="78"/>
      <c r="L21" s="78"/>
      <c r="M21" s="78"/>
      <c r="N21" s="78"/>
      <c r="O21" s="78"/>
      <c r="P21" s="78"/>
      <c r="Q21" s="78"/>
    </row>
    <row r="22" spans="1:17" s="18" customFormat="1" ht="17.149999999999999" hidden="1" customHeight="1" x14ac:dyDescent="0.35">
      <c r="A22" s="128" t="s">
        <v>118</v>
      </c>
      <c r="B22" s="265" t="b">
        <v>0</v>
      </c>
      <c r="C22" s="242"/>
      <c r="D22" s="239">
        <f t="shared" si="0"/>
        <v>0</v>
      </c>
      <c r="E22" s="122"/>
      <c r="F22" s="122"/>
      <c r="G22" s="122"/>
      <c r="H22" s="122"/>
      <c r="J22" s="78"/>
      <c r="K22" s="78"/>
      <c r="L22" s="78"/>
      <c r="M22" s="78"/>
      <c r="N22" s="78"/>
      <c r="O22" s="78"/>
      <c r="P22" s="78"/>
      <c r="Q22" s="78"/>
    </row>
    <row r="23" spans="1:17" s="18" customFormat="1" hidden="1" x14ac:dyDescent="0.35">
      <c r="A23" s="128" t="s">
        <v>118</v>
      </c>
      <c r="B23" s="265" t="b">
        <v>0</v>
      </c>
      <c r="C23" s="131"/>
      <c r="D23" s="239">
        <f t="shared" si="0"/>
        <v>0</v>
      </c>
      <c r="E23" s="1"/>
      <c r="F23" s="1"/>
      <c r="G23" s="1"/>
      <c r="H23" s="1"/>
      <c r="J23" s="78"/>
      <c r="K23" s="78"/>
      <c r="L23" s="78"/>
      <c r="M23" s="78"/>
      <c r="N23" s="78"/>
      <c r="O23" s="78"/>
      <c r="P23" s="78"/>
      <c r="Q23" s="78"/>
    </row>
    <row r="24" spans="1:17" s="18" customFormat="1" hidden="1" x14ac:dyDescent="0.35">
      <c r="A24" s="128" t="s">
        <v>118</v>
      </c>
      <c r="B24" s="265" t="b">
        <v>0</v>
      </c>
      <c r="C24" s="131"/>
      <c r="D24" s="239">
        <f t="shared" si="0"/>
        <v>0</v>
      </c>
      <c r="E24" s="1"/>
      <c r="F24" s="1"/>
      <c r="G24" s="1"/>
      <c r="H24" s="1"/>
      <c r="J24" s="78"/>
      <c r="K24" s="78"/>
      <c r="L24" s="78"/>
      <c r="M24" s="78"/>
      <c r="N24" s="78"/>
      <c r="O24" s="78"/>
      <c r="P24" s="78"/>
      <c r="Q24" s="78"/>
    </row>
    <row r="25" spans="1:17" s="18" customFormat="1" ht="17.149999999999999" hidden="1" customHeight="1" x14ac:dyDescent="0.35">
      <c r="A25" s="152" t="s">
        <v>114</v>
      </c>
      <c r="B25" s="326"/>
      <c r="C25" s="241"/>
      <c r="D25" s="239"/>
      <c r="E25" s="121"/>
      <c r="F25" s="121"/>
      <c r="G25" s="121"/>
      <c r="H25" s="121"/>
      <c r="J25" s="78"/>
      <c r="K25" s="78"/>
      <c r="L25" s="78"/>
      <c r="M25" s="78"/>
      <c r="N25" s="78"/>
      <c r="O25" s="78"/>
      <c r="P25" s="78"/>
      <c r="Q25" s="78"/>
    </row>
    <row r="26" spans="1:17" s="18" customFormat="1" ht="17.149999999999999" hidden="1" customHeight="1" x14ac:dyDescent="0.35">
      <c r="A26" s="128" t="s">
        <v>449</v>
      </c>
      <c r="B26" s="265" t="b">
        <v>0</v>
      </c>
      <c r="C26" s="241"/>
      <c r="D26" s="239">
        <f t="shared" si="0"/>
        <v>0</v>
      </c>
      <c r="E26" s="120"/>
      <c r="F26" s="120"/>
      <c r="G26" s="120"/>
      <c r="H26" s="120"/>
      <c r="J26" s="78"/>
      <c r="K26" s="78"/>
      <c r="L26" s="78"/>
      <c r="M26" s="78"/>
      <c r="N26" s="78"/>
      <c r="O26" s="78"/>
      <c r="P26" s="78"/>
      <c r="Q26" s="78"/>
    </row>
    <row r="27" spans="1:17" s="18" customFormat="1" ht="17.149999999999999" hidden="1" customHeight="1" x14ac:dyDescent="0.35">
      <c r="A27" s="128" t="s">
        <v>450</v>
      </c>
      <c r="B27" s="265" t="b">
        <v>0</v>
      </c>
      <c r="C27" s="241"/>
      <c r="D27" s="239">
        <f t="shared" si="0"/>
        <v>0</v>
      </c>
      <c r="E27" s="120"/>
      <c r="F27" s="120"/>
      <c r="G27" s="120"/>
      <c r="H27" s="120"/>
      <c r="J27" s="78"/>
      <c r="K27" s="78"/>
      <c r="L27" s="78"/>
      <c r="M27" s="78"/>
      <c r="N27" s="78"/>
      <c r="O27" s="78"/>
      <c r="P27" s="78"/>
      <c r="Q27" s="78"/>
    </row>
    <row r="28" spans="1:17" s="18" customFormat="1" ht="17.149999999999999" hidden="1" customHeight="1" x14ac:dyDescent="0.35">
      <c r="A28" s="128" t="s">
        <v>451</v>
      </c>
      <c r="B28" s="265" t="b">
        <v>0</v>
      </c>
      <c r="C28" s="240"/>
      <c r="D28" s="239">
        <f t="shared" si="0"/>
        <v>0</v>
      </c>
      <c r="E28" s="122"/>
      <c r="F28" s="122"/>
      <c r="G28" s="122"/>
      <c r="H28" s="122"/>
      <c r="J28" s="78"/>
      <c r="K28" s="78"/>
      <c r="L28" s="78"/>
      <c r="M28" s="78"/>
      <c r="N28" s="78"/>
      <c r="O28" s="78"/>
      <c r="P28" s="78"/>
      <c r="Q28" s="78"/>
    </row>
    <row r="29" spans="1:17" s="18" customFormat="1" ht="17.149999999999999" hidden="1" customHeight="1" x14ac:dyDescent="0.35">
      <c r="A29" s="128" t="s">
        <v>452</v>
      </c>
      <c r="B29" s="265" t="b">
        <v>0</v>
      </c>
      <c r="C29" s="240"/>
      <c r="D29" s="239">
        <f t="shared" si="0"/>
        <v>0</v>
      </c>
      <c r="E29" s="122"/>
      <c r="F29" s="122"/>
      <c r="G29" s="122"/>
      <c r="H29" s="122"/>
      <c r="J29" s="78"/>
      <c r="K29" s="78"/>
      <c r="L29" s="78"/>
      <c r="M29" s="78"/>
      <c r="N29" s="78"/>
      <c r="O29" s="78"/>
      <c r="P29" s="78"/>
      <c r="Q29" s="78"/>
    </row>
    <row r="30" spans="1:17" s="18" customFormat="1" ht="17.149999999999999" hidden="1" customHeight="1" x14ac:dyDescent="0.35">
      <c r="A30" s="128" t="s">
        <v>110</v>
      </c>
      <c r="B30" s="265" t="b">
        <v>0</v>
      </c>
      <c r="C30" s="239"/>
      <c r="D30" s="239">
        <f t="shared" si="0"/>
        <v>0</v>
      </c>
      <c r="E30" s="120"/>
      <c r="F30" s="120"/>
      <c r="G30" s="120"/>
      <c r="H30" s="120"/>
      <c r="J30" s="78"/>
      <c r="K30" s="78"/>
      <c r="L30" s="78"/>
      <c r="M30" s="78"/>
      <c r="N30" s="78"/>
      <c r="O30" s="78"/>
      <c r="P30" s="78"/>
      <c r="Q30" s="78"/>
    </row>
    <row r="31" spans="1:17" s="18" customFormat="1" ht="17.149999999999999" hidden="1" customHeight="1" x14ac:dyDescent="0.35">
      <c r="A31" s="128" t="s">
        <v>111</v>
      </c>
      <c r="B31" s="265" t="b">
        <v>0</v>
      </c>
      <c r="C31" s="239"/>
      <c r="D31" s="239">
        <f t="shared" si="0"/>
        <v>0</v>
      </c>
      <c r="E31" s="120"/>
      <c r="F31" s="120"/>
      <c r="G31" s="120"/>
      <c r="H31" s="120"/>
      <c r="J31" s="78"/>
      <c r="K31" s="78"/>
      <c r="L31" s="78"/>
      <c r="M31" s="78"/>
      <c r="N31" s="78"/>
      <c r="O31" s="78"/>
      <c r="P31" s="78"/>
      <c r="Q31" s="78"/>
    </row>
    <row r="32" spans="1:17" s="18" customFormat="1" ht="17.149999999999999" hidden="1" customHeight="1" thickBot="1" x14ac:dyDescent="0.4">
      <c r="A32" s="129" t="s">
        <v>453</v>
      </c>
      <c r="B32" s="281" t="b">
        <v>0</v>
      </c>
      <c r="C32" s="239"/>
      <c r="D32" s="239">
        <f t="shared" si="0"/>
        <v>0</v>
      </c>
      <c r="E32" s="120"/>
      <c r="F32" s="120"/>
      <c r="G32" s="120"/>
      <c r="H32" s="120"/>
      <c r="J32" s="78"/>
      <c r="K32" s="78"/>
      <c r="L32" s="78"/>
      <c r="M32" s="78"/>
      <c r="N32" s="78"/>
      <c r="O32" s="78"/>
      <c r="P32" s="78"/>
      <c r="Q32" s="78"/>
    </row>
    <row r="33" spans="1:17" s="18" customFormat="1" ht="17.149999999999999" hidden="1" customHeight="1" thickTop="1" thickBot="1" x14ac:dyDescent="0.4">
      <c r="B33" s="120"/>
      <c r="C33" s="239"/>
      <c r="D33" s="239"/>
      <c r="E33" s="120"/>
      <c r="F33" s="120"/>
      <c r="G33" s="120"/>
      <c r="H33" s="120"/>
      <c r="J33" s="78"/>
      <c r="K33" s="78"/>
      <c r="L33" s="78"/>
      <c r="M33" s="78"/>
      <c r="N33" s="78"/>
      <c r="O33" s="78"/>
      <c r="P33" s="78"/>
      <c r="Q33" s="78"/>
    </row>
    <row r="34" spans="1:17" ht="16" hidden="1" thickBot="1" x14ac:dyDescent="0.4">
      <c r="A34" s="134" t="s">
        <v>27</v>
      </c>
      <c r="B34" s="135">
        <f>IFERROR(D34/C34,0)</f>
        <v>0</v>
      </c>
      <c r="C34" s="137"/>
      <c r="D34" s="137">
        <f>SUM(D10:D32)</f>
        <v>0</v>
      </c>
      <c r="E34"/>
      <c r="F34" s="40"/>
      <c r="G34" s="40"/>
      <c r="H34" s="40"/>
    </row>
    <row r="35" spans="1:17" s="18" customFormat="1" hidden="1" x14ac:dyDescent="0.35">
      <c r="A35" s="148"/>
      <c r="B35" s="80"/>
      <c r="C35" s="238"/>
      <c r="D35" s="238"/>
      <c r="E35" s="80"/>
      <c r="F35" s="80"/>
      <c r="G35" s="80"/>
      <c r="H35" s="79"/>
      <c r="J35" s="78"/>
      <c r="K35" s="78"/>
      <c r="L35" s="78"/>
      <c r="M35" s="78"/>
      <c r="N35" s="78"/>
      <c r="O35" s="78"/>
      <c r="P35" s="78"/>
      <c r="Q35" s="78"/>
    </row>
    <row r="36" spans="1:17" s="18" customFormat="1" ht="16" hidden="1" thickBot="1" x14ac:dyDescent="0.4">
      <c r="A36" s="148"/>
      <c r="B36" s="80"/>
      <c r="C36" s="238"/>
      <c r="D36" s="238"/>
      <c r="E36" s="80"/>
      <c r="F36" s="80"/>
      <c r="G36" s="80"/>
      <c r="H36" s="79"/>
      <c r="J36" s="78"/>
      <c r="K36" s="78"/>
      <c r="L36" s="78"/>
      <c r="M36" s="78"/>
      <c r="N36" s="78"/>
      <c r="O36" s="78"/>
      <c r="P36" s="78"/>
      <c r="Q36" s="78"/>
    </row>
    <row r="37" spans="1:17" ht="16.5" hidden="1" thickTop="1" thickBot="1" x14ac:dyDescent="0.4">
      <c r="A37" s="213"/>
      <c r="B37" s="125" t="s">
        <v>227</v>
      </c>
      <c r="C37" s="126"/>
      <c r="D37" s="132" t="s">
        <v>25</v>
      </c>
      <c r="E37" s="132"/>
      <c r="F37" s="132"/>
      <c r="G37" s="132"/>
      <c r="H37" s="126"/>
    </row>
    <row r="38" spans="1:17" s="18" customFormat="1" ht="16.5" hidden="1" customHeight="1" thickTop="1" x14ac:dyDescent="0.35">
      <c r="A38" s="133" t="s">
        <v>120</v>
      </c>
      <c r="B38" s="384"/>
      <c r="C38" s="119"/>
      <c r="D38" s="119"/>
      <c r="E38" s="121"/>
      <c r="F38" s="121"/>
      <c r="G38" s="121"/>
      <c r="H38" s="121"/>
      <c r="J38" s="78"/>
      <c r="K38" s="78"/>
      <c r="L38" s="78"/>
      <c r="M38" s="78"/>
      <c r="N38" s="78"/>
      <c r="O38" s="78"/>
      <c r="P38" s="78"/>
      <c r="Q38" s="78"/>
    </row>
    <row r="39" spans="1:17" s="18" customFormat="1" ht="16.5" hidden="1" customHeight="1" x14ac:dyDescent="0.35">
      <c r="A39" s="149" t="s">
        <v>113</v>
      </c>
      <c r="B39" s="385"/>
      <c r="C39" s="119"/>
      <c r="D39" s="119"/>
      <c r="E39" s="121"/>
      <c r="F39" s="121"/>
      <c r="G39" s="121"/>
      <c r="H39" s="121"/>
      <c r="J39" s="78"/>
      <c r="K39" s="78"/>
      <c r="L39" s="78"/>
      <c r="M39" s="78"/>
      <c r="N39" s="78"/>
      <c r="O39" s="78"/>
      <c r="P39" s="78"/>
      <c r="Q39" s="78"/>
    </row>
    <row r="40" spans="1:17" s="18" customFormat="1" ht="17.149999999999999" hidden="1" customHeight="1" x14ac:dyDescent="0.35">
      <c r="A40" s="128" t="s">
        <v>115</v>
      </c>
      <c r="B40" s="265" t="b">
        <v>0</v>
      </c>
      <c r="C40" s="241"/>
      <c r="D40" s="239">
        <f t="shared" ref="D40:D60" si="1">IF(B40,C40,0)</f>
        <v>0</v>
      </c>
      <c r="E40" s="120"/>
      <c r="F40" s="120"/>
      <c r="G40" s="120"/>
      <c r="H40" s="120"/>
      <c r="J40" s="78"/>
      <c r="K40" s="78"/>
      <c r="L40" s="78"/>
      <c r="M40" s="78"/>
      <c r="N40" s="78"/>
      <c r="O40" s="78"/>
      <c r="P40" s="78"/>
      <c r="Q40" s="78"/>
    </row>
    <row r="41" spans="1:17" s="18" customFormat="1" ht="17.149999999999999" hidden="1" customHeight="1" x14ac:dyDescent="0.35">
      <c r="A41" s="128" t="s">
        <v>116</v>
      </c>
      <c r="B41" s="265" t="b">
        <v>0</v>
      </c>
      <c r="C41" s="241"/>
      <c r="D41" s="239">
        <f t="shared" si="1"/>
        <v>0</v>
      </c>
      <c r="E41" s="121"/>
      <c r="F41" s="121"/>
      <c r="G41" s="121"/>
      <c r="H41" s="121"/>
      <c r="J41" s="78"/>
      <c r="K41" s="78"/>
      <c r="L41" s="78"/>
      <c r="M41" s="78"/>
      <c r="N41" s="78"/>
      <c r="O41" s="78"/>
      <c r="P41" s="78"/>
      <c r="Q41" s="78"/>
    </row>
    <row r="42" spans="1:17" s="18" customFormat="1" ht="17.149999999999999" hidden="1" customHeight="1" x14ac:dyDescent="0.35">
      <c r="A42" s="128" t="s">
        <v>121</v>
      </c>
      <c r="B42" s="265" t="b">
        <v>0</v>
      </c>
      <c r="C42" s="241"/>
      <c r="D42" s="239">
        <f t="shared" si="1"/>
        <v>0</v>
      </c>
      <c r="E42" s="120"/>
      <c r="F42" s="120"/>
      <c r="G42" s="120"/>
      <c r="H42" s="120"/>
      <c r="J42" s="78"/>
      <c r="K42" s="78"/>
      <c r="L42" s="78"/>
      <c r="M42" s="78"/>
      <c r="N42" s="78"/>
      <c r="O42" s="78"/>
      <c r="P42" s="78"/>
      <c r="Q42" s="78"/>
    </row>
    <row r="43" spans="1:17" s="18" customFormat="1" ht="17.149999999999999" hidden="1" customHeight="1" x14ac:dyDescent="0.35">
      <c r="A43" s="128" t="s">
        <v>122</v>
      </c>
      <c r="B43" s="265" t="b">
        <v>0</v>
      </c>
      <c r="C43" s="242"/>
      <c r="D43" s="239">
        <f t="shared" si="1"/>
        <v>0</v>
      </c>
      <c r="E43" s="122"/>
      <c r="F43" s="122"/>
      <c r="G43" s="122"/>
      <c r="H43" s="122"/>
      <c r="J43" s="78"/>
      <c r="K43" s="78"/>
      <c r="L43" s="78"/>
      <c r="M43" s="78"/>
      <c r="N43" s="78"/>
      <c r="O43" s="78"/>
      <c r="P43" s="78"/>
      <c r="Q43" s="78"/>
    </row>
    <row r="44" spans="1:17" s="18" customFormat="1" ht="17.149999999999999" hidden="1" customHeight="1" x14ac:dyDescent="0.35">
      <c r="A44" s="128" t="s">
        <v>119</v>
      </c>
      <c r="B44" s="265" t="b">
        <v>0</v>
      </c>
      <c r="C44" s="242"/>
      <c r="D44" s="239">
        <f t="shared" si="1"/>
        <v>0</v>
      </c>
      <c r="E44" s="122"/>
      <c r="F44" s="122"/>
      <c r="G44" s="122"/>
      <c r="H44" s="122"/>
      <c r="J44" s="78"/>
      <c r="K44" s="78"/>
      <c r="L44" s="78"/>
      <c r="M44" s="78"/>
      <c r="N44" s="78"/>
      <c r="O44" s="78"/>
      <c r="P44" s="78"/>
      <c r="Q44" s="78"/>
    </row>
    <row r="45" spans="1:17" s="18" customFormat="1" ht="17.149999999999999" hidden="1" customHeight="1" x14ac:dyDescent="0.35">
      <c r="A45" s="128" t="s">
        <v>119</v>
      </c>
      <c r="B45" s="265" t="b">
        <v>0</v>
      </c>
      <c r="C45" s="242"/>
      <c r="D45" s="239">
        <f t="shared" si="1"/>
        <v>0</v>
      </c>
      <c r="E45" s="122"/>
      <c r="F45" s="122"/>
      <c r="G45" s="122"/>
      <c r="H45" s="122"/>
      <c r="J45" s="78"/>
      <c r="K45" s="78"/>
      <c r="L45" s="78"/>
      <c r="M45" s="78"/>
      <c r="N45" s="78"/>
      <c r="O45" s="78"/>
      <c r="P45" s="78"/>
      <c r="Q45" s="78"/>
    </row>
    <row r="46" spans="1:17" s="18" customFormat="1" ht="17.149999999999999" hidden="1" customHeight="1" x14ac:dyDescent="0.35">
      <c r="A46" s="128" t="s">
        <v>118</v>
      </c>
      <c r="B46" s="265" t="b">
        <v>0</v>
      </c>
      <c r="C46" s="242"/>
      <c r="D46" s="239">
        <f t="shared" si="1"/>
        <v>0</v>
      </c>
      <c r="E46" s="122"/>
      <c r="F46" s="122"/>
      <c r="G46" s="122"/>
      <c r="H46" s="122"/>
      <c r="J46" s="78"/>
      <c r="K46" s="78"/>
      <c r="L46" s="78"/>
      <c r="M46" s="78"/>
      <c r="N46" s="78"/>
      <c r="O46" s="78"/>
      <c r="P46" s="78"/>
      <c r="Q46" s="78"/>
    </row>
    <row r="47" spans="1:17" s="18" customFormat="1" ht="17.149999999999999" hidden="1" customHeight="1" x14ac:dyDescent="0.35">
      <c r="A47" s="128" t="s">
        <v>118</v>
      </c>
      <c r="B47" s="265" t="b">
        <v>0</v>
      </c>
      <c r="C47" s="242"/>
      <c r="D47" s="239">
        <f t="shared" si="1"/>
        <v>0</v>
      </c>
      <c r="E47" s="122"/>
      <c r="F47" s="122"/>
      <c r="G47" s="122"/>
      <c r="H47" s="122"/>
      <c r="J47" s="78"/>
      <c r="K47" s="78"/>
      <c r="L47" s="78"/>
      <c r="M47" s="78"/>
      <c r="N47" s="78"/>
      <c r="O47" s="78"/>
      <c r="P47" s="78"/>
      <c r="Q47" s="78"/>
    </row>
    <row r="48" spans="1:17" s="18" customFormat="1" ht="17.149999999999999" hidden="1" customHeight="1" x14ac:dyDescent="0.35">
      <c r="A48" s="128" t="s">
        <v>118</v>
      </c>
      <c r="B48" s="265" t="b">
        <v>0</v>
      </c>
      <c r="C48" s="242"/>
      <c r="D48" s="239">
        <f t="shared" si="1"/>
        <v>0</v>
      </c>
      <c r="E48" s="122"/>
      <c r="F48" s="122"/>
      <c r="G48" s="122"/>
      <c r="H48" s="122"/>
      <c r="J48" s="78"/>
      <c r="K48" s="78"/>
      <c r="L48" s="78"/>
      <c r="M48" s="78"/>
      <c r="N48" s="78"/>
      <c r="O48" s="78"/>
      <c r="P48" s="78"/>
      <c r="Q48" s="78"/>
    </row>
    <row r="49" spans="1:17" s="18" customFormat="1" ht="17.149999999999999" hidden="1" customHeight="1" x14ac:dyDescent="0.35">
      <c r="A49" s="128" t="s">
        <v>118</v>
      </c>
      <c r="B49" s="265" t="b">
        <v>0</v>
      </c>
      <c r="C49" s="242"/>
      <c r="D49" s="239">
        <f t="shared" si="1"/>
        <v>0</v>
      </c>
      <c r="E49" s="122"/>
      <c r="F49" s="122"/>
      <c r="G49" s="122"/>
      <c r="H49" s="122"/>
      <c r="J49" s="78"/>
      <c r="K49" s="78"/>
      <c r="L49" s="78"/>
      <c r="M49" s="78"/>
      <c r="N49" s="78"/>
      <c r="O49" s="78"/>
      <c r="P49" s="78"/>
      <c r="Q49" s="78"/>
    </row>
    <row r="50" spans="1:17" s="18" customFormat="1" ht="17.149999999999999" hidden="1" customHeight="1" x14ac:dyDescent="0.35">
      <c r="A50" s="128" t="s">
        <v>118</v>
      </c>
      <c r="B50" s="265" t="b">
        <v>0</v>
      </c>
      <c r="C50" s="242"/>
      <c r="D50" s="239">
        <f t="shared" si="1"/>
        <v>0</v>
      </c>
      <c r="E50" s="122"/>
      <c r="F50" s="122"/>
      <c r="G50" s="122"/>
      <c r="H50" s="122"/>
      <c r="J50" s="78"/>
      <c r="K50" s="78"/>
      <c r="L50" s="78"/>
      <c r="M50" s="78"/>
      <c r="N50" s="78"/>
      <c r="O50" s="78"/>
      <c r="P50" s="78"/>
      <c r="Q50" s="78"/>
    </row>
    <row r="51" spans="1:17" s="18" customFormat="1" ht="17.149999999999999" hidden="1" customHeight="1" x14ac:dyDescent="0.35">
      <c r="A51" s="128" t="s">
        <v>118</v>
      </c>
      <c r="B51" s="265" t="b">
        <v>0</v>
      </c>
      <c r="C51" s="242"/>
      <c r="D51" s="239">
        <f t="shared" si="1"/>
        <v>0</v>
      </c>
      <c r="E51" s="122"/>
      <c r="F51" s="122"/>
      <c r="G51" s="122"/>
      <c r="H51" s="122"/>
      <c r="J51" s="78"/>
      <c r="K51" s="78"/>
      <c r="L51" s="78"/>
      <c r="M51" s="78"/>
      <c r="N51" s="78"/>
      <c r="O51" s="78"/>
      <c r="P51" s="78"/>
      <c r="Q51" s="78"/>
    </row>
    <row r="52" spans="1:17" s="18" customFormat="1" ht="17.149999999999999" hidden="1" customHeight="1" x14ac:dyDescent="0.35">
      <c r="A52" s="128" t="s">
        <v>118</v>
      </c>
      <c r="B52" s="265" t="b">
        <v>0</v>
      </c>
      <c r="C52" s="242"/>
      <c r="D52" s="239">
        <f t="shared" si="1"/>
        <v>0</v>
      </c>
      <c r="E52" s="122"/>
      <c r="F52" s="122"/>
      <c r="G52" s="122"/>
      <c r="H52" s="122"/>
      <c r="J52" s="78"/>
      <c r="K52" s="78"/>
      <c r="L52" s="78"/>
      <c r="M52" s="78"/>
      <c r="N52" s="78"/>
      <c r="O52" s="78"/>
      <c r="P52" s="78"/>
      <c r="Q52" s="78"/>
    </row>
    <row r="53" spans="1:17" s="18" customFormat="1" ht="17.149999999999999" hidden="1" customHeight="1" x14ac:dyDescent="0.35">
      <c r="A53" s="152" t="s">
        <v>114</v>
      </c>
      <c r="B53" s="326"/>
      <c r="C53" s="119"/>
      <c r="D53" s="239"/>
      <c r="E53" s="121"/>
      <c r="F53" s="121"/>
      <c r="G53" s="121"/>
      <c r="H53" s="121"/>
      <c r="J53" s="78"/>
      <c r="K53" s="78"/>
      <c r="L53" s="78"/>
      <c r="M53" s="78"/>
      <c r="N53" s="78"/>
      <c r="O53" s="78"/>
      <c r="P53" s="78"/>
      <c r="Q53" s="78"/>
    </row>
    <row r="54" spans="1:17" s="18" customFormat="1" ht="17.149999999999999" hidden="1" customHeight="1" x14ac:dyDescent="0.35">
      <c r="A54" s="128" t="s">
        <v>449</v>
      </c>
      <c r="B54" s="265" t="b">
        <v>0</v>
      </c>
      <c r="C54" s="241"/>
      <c r="D54" s="239">
        <f t="shared" si="1"/>
        <v>0</v>
      </c>
      <c r="E54" s="120"/>
      <c r="F54" s="120"/>
      <c r="G54" s="120"/>
      <c r="H54" s="120"/>
      <c r="J54" s="78"/>
      <c r="K54" s="78"/>
      <c r="L54" s="78"/>
      <c r="M54" s="78"/>
      <c r="N54" s="78"/>
      <c r="O54" s="78"/>
      <c r="P54" s="78"/>
      <c r="Q54" s="78"/>
    </row>
    <row r="55" spans="1:17" s="18" customFormat="1" ht="17.149999999999999" hidden="1" customHeight="1" x14ac:dyDescent="0.35">
      <c r="A55" s="128" t="s">
        <v>454</v>
      </c>
      <c r="B55" s="265" t="b">
        <v>0</v>
      </c>
      <c r="C55" s="241"/>
      <c r="D55" s="239">
        <f t="shared" si="1"/>
        <v>0</v>
      </c>
      <c r="E55" s="120"/>
      <c r="F55" s="120"/>
      <c r="G55" s="120"/>
      <c r="H55" s="120"/>
      <c r="J55" s="78"/>
      <c r="K55" s="78"/>
      <c r="L55" s="78"/>
      <c r="M55" s="78"/>
      <c r="N55" s="78"/>
      <c r="O55" s="78"/>
      <c r="P55" s="78"/>
      <c r="Q55" s="78"/>
    </row>
    <row r="56" spans="1:17" s="18" customFormat="1" ht="17.149999999999999" hidden="1" customHeight="1" x14ac:dyDescent="0.35">
      <c r="A56" s="128" t="s">
        <v>451</v>
      </c>
      <c r="B56" s="265" t="b">
        <v>0</v>
      </c>
      <c r="C56" s="240"/>
      <c r="D56" s="239">
        <f t="shared" si="1"/>
        <v>0</v>
      </c>
      <c r="E56" s="122"/>
      <c r="F56" s="122"/>
      <c r="G56" s="122"/>
      <c r="H56" s="122"/>
      <c r="J56" s="78"/>
      <c r="K56" s="78"/>
      <c r="L56" s="78"/>
      <c r="M56" s="78"/>
      <c r="N56" s="78"/>
      <c r="O56" s="78"/>
      <c r="P56" s="78"/>
      <c r="Q56" s="78"/>
    </row>
    <row r="57" spans="1:17" s="18" customFormat="1" ht="17.149999999999999" hidden="1" customHeight="1" x14ac:dyDescent="0.35">
      <c r="A57" s="128" t="s">
        <v>452</v>
      </c>
      <c r="B57" s="265" t="b">
        <v>0</v>
      </c>
      <c r="C57" s="240"/>
      <c r="D57" s="239">
        <f t="shared" si="1"/>
        <v>0</v>
      </c>
      <c r="E57" s="122"/>
      <c r="F57" s="122"/>
      <c r="G57" s="122"/>
      <c r="H57" s="122"/>
      <c r="J57" s="78"/>
      <c r="K57" s="78"/>
      <c r="L57" s="78"/>
      <c r="M57" s="78"/>
      <c r="N57" s="78"/>
      <c r="O57" s="78"/>
      <c r="P57" s="78"/>
      <c r="Q57" s="78"/>
    </row>
    <row r="58" spans="1:17" s="18" customFormat="1" ht="17.149999999999999" hidden="1" customHeight="1" x14ac:dyDescent="0.35">
      <c r="A58" s="128" t="s">
        <v>110</v>
      </c>
      <c r="B58" s="265" t="b">
        <v>0</v>
      </c>
      <c r="C58" s="239"/>
      <c r="D58" s="239">
        <f t="shared" si="1"/>
        <v>0</v>
      </c>
      <c r="E58" s="120"/>
      <c r="F58" s="120"/>
      <c r="G58" s="120"/>
      <c r="H58" s="120"/>
      <c r="J58" s="78"/>
      <c r="K58" s="78"/>
      <c r="L58" s="78"/>
      <c r="M58" s="78"/>
      <c r="N58" s="78"/>
      <c r="O58" s="78"/>
      <c r="P58" s="78"/>
      <c r="Q58" s="78"/>
    </row>
    <row r="59" spans="1:17" s="18" customFormat="1" ht="17.149999999999999" hidden="1" customHeight="1" x14ac:dyDescent="0.35">
      <c r="A59" s="128" t="s">
        <v>111</v>
      </c>
      <c r="B59" s="265" t="b">
        <v>0</v>
      </c>
      <c r="C59" s="239"/>
      <c r="D59" s="239">
        <f t="shared" si="1"/>
        <v>0</v>
      </c>
      <c r="E59" s="120"/>
      <c r="F59" s="120"/>
      <c r="G59" s="120"/>
      <c r="H59" s="120"/>
      <c r="J59" s="78"/>
      <c r="K59" s="78"/>
      <c r="L59" s="78"/>
      <c r="M59" s="78"/>
      <c r="N59" s="78"/>
      <c r="O59" s="78"/>
      <c r="P59" s="78"/>
      <c r="Q59" s="78"/>
    </row>
    <row r="60" spans="1:17" s="18" customFormat="1" ht="17.149999999999999" hidden="1" customHeight="1" thickBot="1" x14ac:dyDescent="0.4">
      <c r="A60" s="129" t="s">
        <v>453</v>
      </c>
      <c r="B60" s="281" t="b">
        <v>0</v>
      </c>
      <c r="C60" s="239"/>
      <c r="D60" s="239">
        <f t="shared" si="1"/>
        <v>0</v>
      </c>
      <c r="E60" s="120"/>
      <c r="F60" s="120"/>
      <c r="G60" s="120"/>
      <c r="H60" s="120"/>
      <c r="J60" s="78"/>
      <c r="K60" s="78"/>
      <c r="L60" s="78"/>
      <c r="M60" s="78"/>
      <c r="N60" s="78"/>
      <c r="O60" s="78"/>
      <c r="P60" s="78"/>
      <c r="Q60" s="78"/>
    </row>
    <row r="61" spans="1:17" s="18" customFormat="1" ht="17.149999999999999" hidden="1" customHeight="1" thickTop="1" thickBot="1" x14ac:dyDescent="0.4">
      <c r="B61" s="120"/>
      <c r="C61" s="239"/>
      <c r="D61" s="239"/>
      <c r="E61" s="120"/>
      <c r="F61" s="120"/>
      <c r="G61" s="120"/>
      <c r="H61" s="120"/>
      <c r="J61" s="78"/>
      <c r="K61" s="78"/>
      <c r="L61" s="78"/>
      <c r="M61" s="78"/>
      <c r="N61" s="78"/>
      <c r="O61" s="78"/>
      <c r="P61" s="78"/>
      <c r="Q61" s="78"/>
    </row>
    <row r="62" spans="1:17" ht="16" hidden="1" thickBot="1" x14ac:dyDescent="0.4">
      <c r="A62" s="134" t="s">
        <v>27</v>
      </c>
      <c r="B62" s="135">
        <f>IFERROR(D62/C62,0)</f>
        <v>0</v>
      </c>
      <c r="C62" s="137"/>
      <c r="D62" s="137">
        <f>SUM(D40:D60)</f>
        <v>0</v>
      </c>
      <c r="E62"/>
      <c r="F62" s="40"/>
      <c r="G62" s="40"/>
      <c r="H62" s="40"/>
    </row>
    <row r="63" spans="1:17" hidden="1" x14ac:dyDescent="0.35">
      <c r="A63" s="153"/>
      <c r="B63" s="154"/>
      <c r="C63" s="137"/>
      <c r="D63" s="137"/>
      <c r="E63"/>
      <c r="F63" s="40"/>
      <c r="G63" s="40"/>
      <c r="H63" s="40"/>
    </row>
    <row r="64" spans="1:17" hidden="1" x14ac:dyDescent="0.35">
      <c r="A64" s="153"/>
      <c r="B64" s="154"/>
      <c r="C64" s="137"/>
      <c r="D64" s="137"/>
      <c r="E64"/>
      <c r="F64" s="40"/>
      <c r="G64" s="40"/>
      <c r="H64" s="40"/>
    </row>
    <row r="65" spans="1:17" hidden="1" x14ac:dyDescent="0.35">
      <c r="A65" s="153"/>
      <c r="B65" s="154"/>
      <c r="C65" s="137"/>
      <c r="D65" s="137"/>
      <c r="E65"/>
      <c r="F65" s="40"/>
      <c r="G65" s="40"/>
      <c r="H65" s="40"/>
    </row>
    <row r="66" spans="1:17" ht="16" hidden="1" thickBot="1" x14ac:dyDescent="0.4">
      <c r="A66" s="153"/>
      <c r="B66" s="154"/>
      <c r="C66" s="137"/>
      <c r="D66" s="137"/>
      <c r="E66"/>
      <c r="F66" s="40"/>
      <c r="G66" s="40"/>
      <c r="H66" s="40"/>
    </row>
    <row r="67" spans="1:17" s="18" customFormat="1" ht="16.5" hidden="1" thickTop="1" thickBot="1" x14ac:dyDescent="0.4">
      <c r="A67" s="213"/>
      <c r="B67" s="125" t="s">
        <v>227</v>
      </c>
      <c r="C67" s="126"/>
      <c r="D67" s="132" t="s">
        <v>25</v>
      </c>
      <c r="E67" s="80"/>
      <c r="F67" s="80"/>
      <c r="G67" s="80"/>
      <c r="H67" s="79"/>
      <c r="J67" s="78"/>
      <c r="K67" s="78"/>
      <c r="L67" s="78"/>
      <c r="M67" s="78"/>
      <c r="N67" s="78"/>
      <c r="O67" s="78"/>
      <c r="P67" s="78"/>
      <c r="Q67" s="78"/>
    </row>
    <row r="68" spans="1:17" s="18" customFormat="1" ht="16" hidden="1" thickTop="1" x14ac:dyDescent="0.35">
      <c r="A68" s="133" t="s">
        <v>78</v>
      </c>
      <c r="B68" s="384"/>
      <c r="C68" s="238"/>
      <c r="D68" s="238"/>
      <c r="E68" s="80"/>
      <c r="F68" s="80"/>
      <c r="G68" s="80"/>
      <c r="H68" s="79"/>
      <c r="J68" s="78"/>
      <c r="K68" s="78"/>
      <c r="L68" s="78"/>
      <c r="M68" s="78"/>
      <c r="N68" s="78"/>
      <c r="O68" s="78"/>
      <c r="P68" s="78"/>
      <c r="Q68" s="78"/>
    </row>
    <row r="69" spans="1:17" s="18" customFormat="1" ht="17.25" hidden="1" customHeight="1" x14ac:dyDescent="0.35">
      <c r="A69" s="149" t="s">
        <v>113</v>
      </c>
      <c r="B69" s="386"/>
      <c r="C69" s="238"/>
      <c r="D69" s="238"/>
      <c r="E69" s="80"/>
      <c r="F69" s="80"/>
      <c r="G69" s="80"/>
      <c r="H69" s="79"/>
      <c r="J69" s="78"/>
      <c r="K69" s="78"/>
      <c r="L69" s="78"/>
      <c r="M69" s="78"/>
      <c r="N69" s="78"/>
      <c r="O69" s="78"/>
      <c r="P69" s="78"/>
      <c r="Q69" s="78"/>
    </row>
    <row r="70" spans="1:17" s="18" customFormat="1" hidden="1" x14ac:dyDescent="0.35">
      <c r="A70" s="128" t="s">
        <v>228</v>
      </c>
      <c r="B70" s="265" t="b">
        <v>0</v>
      </c>
      <c r="C70" s="238"/>
      <c r="D70" s="239">
        <f t="shared" ref="D70:D85" si="2">IF(B70,C70,0)</f>
        <v>0</v>
      </c>
      <c r="E70" s="80"/>
      <c r="F70" s="80"/>
      <c r="G70" s="80"/>
      <c r="H70" s="79"/>
      <c r="J70" s="78"/>
      <c r="K70" s="78"/>
      <c r="L70" s="78"/>
      <c r="M70" s="78"/>
      <c r="N70" s="78"/>
      <c r="O70" s="78"/>
      <c r="P70" s="78"/>
      <c r="Q70" s="78"/>
    </row>
    <row r="71" spans="1:17" s="18" customFormat="1" ht="17.149999999999999" hidden="1" customHeight="1" x14ac:dyDescent="0.35">
      <c r="A71" s="128" t="s">
        <v>121</v>
      </c>
      <c r="B71" s="265" t="b">
        <v>0</v>
      </c>
      <c r="C71" s="241"/>
      <c r="D71" s="239">
        <f t="shared" si="2"/>
        <v>0</v>
      </c>
      <c r="E71" s="121"/>
      <c r="F71" s="121"/>
      <c r="G71" s="121"/>
      <c r="H71" s="121"/>
      <c r="J71" s="78"/>
      <c r="K71" s="78"/>
      <c r="L71" s="78"/>
      <c r="M71" s="78"/>
      <c r="N71" s="78"/>
      <c r="O71" s="78"/>
      <c r="P71" s="78"/>
      <c r="Q71" s="78"/>
    </row>
    <row r="72" spans="1:17" s="18" customFormat="1" hidden="1" x14ac:dyDescent="0.35">
      <c r="A72" s="128" t="s">
        <v>122</v>
      </c>
      <c r="B72" s="265" t="b">
        <v>0</v>
      </c>
      <c r="C72" s="238"/>
      <c r="D72" s="239">
        <f t="shared" si="2"/>
        <v>0</v>
      </c>
      <c r="E72" s="80"/>
      <c r="F72" s="80"/>
      <c r="G72" s="80"/>
      <c r="H72" s="79"/>
      <c r="J72" s="78"/>
      <c r="K72" s="78"/>
      <c r="L72" s="78"/>
      <c r="M72" s="78"/>
      <c r="N72" s="78"/>
      <c r="O72" s="78"/>
      <c r="P72" s="78"/>
      <c r="Q72" s="78"/>
    </row>
    <row r="73" spans="1:17" s="18" customFormat="1" hidden="1" x14ac:dyDescent="0.35">
      <c r="A73" s="128" t="s">
        <v>119</v>
      </c>
      <c r="B73" s="265" t="b">
        <v>0</v>
      </c>
      <c r="C73" s="238"/>
      <c r="D73" s="239">
        <f t="shared" si="2"/>
        <v>0</v>
      </c>
      <c r="E73" s="80"/>
      <c r="F73" s="80"/>
      <c r="G73" s="80"/>
      <c r="H73" s="79"/>
      <c r="J73" s="78"/>
      <c r="K73" s="78"/>
      <c r="L73" s="78"/>
      <c r="M73" s="78"/>
      <c r="N73" s="78"/>
      <c r="O73" s="78"/>
      <c r="P73" s="78"/>
      <c r="Q73" s="78"/>
    </row>
    <row r="74" spans="1:17" s="18" customFormat="1" hidden="1" x14ac:dyDescent="0.35">
      <c r="A74" s="128" t="s">
        <v>119</v>
      </c>
      <c r="B74" s="265" t="b">
        <v>0</v>
      </c>
      <c r="C74" s="238"/>
      <c r="D74" s="239">
        <f t="shared" si="2"/>
        <v>0</v>
      </c>
      <c r="E74" s="80"/>
      <c r="F74" s="80"/>
      <c r="G74" s="80"/>
      <c r="H74" s="79"/>
      <c r="J74" s="78"/>
      <c r="K74" s="78"/>
      <c r="L74" s="78"/>
      <c r="M74" s="78"/>
      <c r="N74" s="78"/>
      <c r="O74" s="78"/>
      <c r="P74" s="78"/>
      <c r="Q74" s="78"/>
    </row>
    <row r="75" spans="1:17" s="18" customFormat="1" hidden="1" x14ac:dyDescent="0.35">
      <c r="A75" s="128" t="s">
        <v>118</v>
      </c>
      <c r="B75" s="265" t="b">
        <v>0</v>
      </c>
      <c r="C75" s="238"/>
      <c r="D75" s="239">
        <f t="shared" si="2"/>
        <v>0</v>
      </c>
      <c r="E75" s="80"/>
      <c r="F75" s="80"/>
      <c r="G75" s="80"/>
      <c r="H75" s="79"/>
      <c r="J75" s="78"/>
      <c r="K75" s="78"/>
      <c r="L75" s="78"/>
      <c r="M75" s="78"/>
      <c r="N75" s="78"/>
      <c r="O75" s="78"/>
      <c r="P75" s="78"/>
      <c r="Q75" s="78"/>
    </row>
    <row r="76" spans="1:17" s="18" customFormat="1" hidden="1" x14ac:dyDescent="0.35">
      <c r="A76" s="128" t="s">
        <v>118</v>
      </c>
      <c r="B76" s="265" t="b">
        <v>0</v>
      </c>
      <c r="C76" s="238"/>
      <c r="D76" s="239">
        <f t="shared" si="2"/>
        <v>0</v>
      </c>
      <c r="E76" s="80"/>
      <c r="F76" s="80"/>
      <c r="G76" s="80"/>
      <c r="H76" s="79"/>
      <c r="J76" s="78"/>
      <c r="K76" s="78"/>
      <c r="L76" s="78"/>
      <c r="M76" s="78"/>
      <c r="N76" s="78"/>
      <c r="O76" s="78"/>
      <c r="P76" s="78"/>
      <c r="Q76" s="78"/>
    </row>
    <row r="77" spans="1:17" s="18" customFormat="1" ht="17.149999999999999" hidden="1" customHeight="1" x14ac:dyDescent="0.35">
      <c r="A77" s="128" t="s">
        <v>118</v>
      </c>
      <c r="B77" s="265" t="b">
        <v>0</v>
      </c>
      <c r="C77" s="239"/>
      <c r="D77" s="239">
        <f t="shared" si="2"/>
        <v>0</v>
      </c>
      <c r="E77" s="120"/>
      <c r="F77" s="120"/>
      <c r="G77" s="120"/>
      <c r="H77" s="120"/>
      <c r="J77" s="78"/>
      <c r="K77" s="78"/>
      <c r="L77" s="78"/>
      <c r="M77" s="78"/>
      <c r="N77" s="78"/>
      <c r="O77" s="78"/>
      <c r="P77" s="78"/>
      <c r="Q77" s="78"/>
    </row>
    <row r="78" spans="1:17" s="18" customFormat="1" hidden="1" x14ac:dyDescent="0.35">
      <c r="A78" s="152" t="s">
        <v>114</v>
      </c>
      <c r="B78" s="326"/>
      <c r="C78" s="238"/>
      <c r="D78" s="239"/>
      <c r="E78" s="80"/>
      <c r="F78" s="80"/>
      <c r="G78" s="80"/>
      <c r="H78" s="79"/>
      <c r="J78" s="78"/>
      <c r="K78" s="78"/>
      <c r="L78" s="78"/>
      <c r="M78" s="78"/>
      <c r="N78" s="78"/>
      <c r="O78" s="78"/>
      <c r="P78" s="78"/>
      <c r="Q78" s="78"/>
    </row>
    <row r="79" spans="1:17" s="18" customFormat="1" hidden="1" x14ac:dyDescent="0.35">
      <c r="A79" s="128" t="s">
        <v>449</v>
      </c>
      <c r="B79" s="265" t="b">
        <v>0</v>
      </c>
      <c r="C79" s="241"/>
      <c r="D79" s="239">
        <f t="shared" si="2"/>
        <v>0</v>
      </c>
      <c r="E79" s="80"/>
      <c r="F79" s="80"/>
      <c r="G79" s="80"/>
      <c r="H79" s="79"/>
      <c r="J79" s="78"/>
      <c r="K79" s="78"/>
      <c r="L79" s="78"/>
      <c r="M79" s="78"/>
      <c r="N79" s="78"/>
      <c r="O79" s="78"/>
      <c r="P79" s="78"/>
      <c r="Q79" s="78"/>
    </row>
    <row r="80" spans="1:17" s="18" customFormat="1" hidden="1" x14ac:dyDescent="0.35">
      <c r="A80" s="128" t="s">
        <v>454</v>
      </c>
      <c r="B80" s="265" t="b">
        <v>0</v>
      </c>
      <c r="C80" s="241"/>
      <c r="D80" s="239">
        <f t="shared" si="2"/>
        <v>0</v>
      </c>
      <c r="E80" s="80"/>
      <c r="F80" s="80"/>
      <c r="G80" s="80"/>
      <c r="H80" s="79"/>
      <c r="J80" s="78"/>
      <c r="K80" s="78"/>
      <c r="L80" s="78"/>
      <c r="M80" s="78"/>
      <c r="N80" s="78"/>
      <c r="O80" s="78"/>
      <c r="P80" s="78"/>
      <c r="Q80" s="78"/>
    </row>
    <row r="81" spans="1:17" s="18" customFormat="1" hidden="1" x14ac:dyDescent="0.35">
      <c r="A81" s="128" t="s">
        <v>451</v>
      </c>
      <c r="B81" s="265" t="b">
        <v>0</v>
      </c>
      <c r="C81" s="240"/>
      <c r="D81" s="239">
        <f t="shared" si="2"/>
        <v>0</v>
      </c>
      <c r="E81" s="80"/>
      <c r="F81" s="80"/>
      <c r="G81" s="80"/>
      <c r="H81" s="79"/>
      <c r="J81" s="78"/>
      <c r="K81" s="78"/>
      <c r="L81" s="78"/>
      <c r="M81" s="78"/>
      <c r="N81" s="78"/>
      <c r="O81" s="78"/>
      <c r="P81" s="78"/>
      <c r="Q81" s="78"/>
    </row>
    <row r="82" spans="1:17" s="18" customFormat="1" hidden="1" x14ac:dyDescent="0.35">
      <c r="A82" s="128" t="s">
        <v>452</v>
      </c>
      <c r="B82" s="265" t="b">
        <v>0</v>
      </c>
      <c r="C82" s="240"/>
      <c r="D82" s="239">
        <f t="shared" si="2"/>
        <v>0</v>
      </c>
      <c r="E82" s="80"/>
      <c r="F82" s="80"/>
      <c r="G82" s="80"/>
      <c r="H82" s="79"/>
      <c r="J82" s="78"/>
      <c r="K82" s="78"/>
      <c r="L82" s="78"/>
      <c r="M82" s="78"/>
      <c r="N82" s="78"/>
      <c r="O82" s="78"/>
      <c r="P82" s="78"/>
      <c r="Q82" s="78"/>
    </row>
    <row r="83" spans="1:17" s="18" customFormat="1" hidden="1" x14ac:dyDescent="0.35">
      <c r="A83" s="128" t="s">
        <v>110</v>
      </c>
      <c r="B83" s="265" t="b">
        <v>0</v>
      </c>
      <c r="C83" s="239"/>
      <c r="D83" s="239">
        <f t="shared" si="2"/>
        <v>0</v>
      </c>
      <c r="E83" s="80"/>
      <c r="F83" s="80"/>
      <c r="G83" s="80"/>
      <c r="H83" s="79"/>
      <c r="J83" s="78"/>
      <c r="K83" s="78"/>
      <c r="L83" s="78"/>
      <c r="M83" s="78"/>
      <c r="N83" s="78"/>
      <c r="O83" s="78"/>
      <c r="P83" s="78"/>
      <c r="Q83" s="78"/>
    </row>
    <row r="84" spans="1:17" s="18" customFormat="1" hidden="1" x14ac:dyDescent="0.35">
      <c r="A84" s="128" t="s">
        <v>111</v>
      </c>
      <c r="B84" s="265" t="b">
        <v>0</v>
      </c>
      <c r="C84" s="239"/>
      <c r="D84" s="239">
        <f t="shared" si="2"/>
        <v>0</v>
      </c>
      <c r="E84" s="80"/>
      <c r="F84" s="80"/>
      <c r="G84" s="80"/>
      <c r="H84" s="79"/>
      <c r="J84" s="78"/>
      <c r="K84" s="78"/>
      <c r="L84" s="78"/>
      <c r="M84" s="78"/>
      <c r="N84" s="78"/>
      <c r="O84" s="78"/>
      <c r="P84" s="78"/>
      <c r="Q84" s="78"/>
    </row>
    <row r="85" spans="1:17" s="18" customFormat="1" ht="16" hidden="1" thickBot="1" x14ac:dyDescent="0.4">
      <c r="A85" s="129" t="s">
        <v>453</v>
      </c>
      <c r="B85" s="338" t="b">
        <v>0</v>
      </c>
      <c r="C85" s="239"/>
      <c r="D85" s="239">
        <f t="shared" si="2"/>
        <v>0</v>
      </c>
      <c r="E85" s="80"/>
      <c r="F85" s="80"/>
      <c r="G85" s="80"/>
      <c r="H85" s="79"/>
      <c r="J85" s="78"/>
      <c r="K85" s="78"/>
      <c r="L85" s="78"/>
      <c r="M85" s="78"/>
      <c r="N85" s="78"/>
      <c r="O85" s="78"/>
      <c r="P85" s="78"/>
      <c r="Q85" s="78"/>
    </row>
    <row r="86" spans="1:17" s="18" customFormat="1" ht="17.149999999999999" hidden="1" customHeight="1" thickTop="1" thickBot="1" x14ac:dyDescent="0.4">
      <c r="B86" s="120"/>
      <c r="C86" s="239"/>
      <c r="D86" s="239"/>
      <c r="E86" s="120"/>
      <c r="F86" s="120"/>
      <c r="G86" s="120"/>
      <c r="H86" s="120"/>
      <c r="J86" s="78"/>
      <c r="K86" s="78"/>
      <c r="L86" s="78"/>
      <c r="M86" s="78"/>
      <c r="N86" s="78"/>
      <c r="O86" s="78"/>
      <c r="P86" s="78"/>
      <c r="Q86" s="78"/>
    </row>
    <row r="87" spans="1:17" ht="16" hidden="1" thickBot="1" x14ac:dyDescent="0.4">
      <c r="A87" s="134" t="s">
        <v>27</v>
      </c>
      <c r="B87" s="135">
        <f>IFERROR(D87/C87,0)</f>
        <v>0</v>
      </c>
      <c r="C87" s="137"/>
      <c r="D87" s="137">
        <f>SUM(D70:D85)</f>
        <v>0</v>
      </c>
      <c r="E87"/>
      <c r="F87" s="40"/>
      <c r="G87" s="40"/>
      <c r="H87" s="40"/>
    </row>
    <row r="88" spans="1:17" s="18" customFormat="1" hidden="1" x14ac:dyDescent="0.35">
      <c r="A88" s="80"/>
      <c r="B88" s="80"/>
      <c r="C88" s="238"/>
      <c r="D88" s="238"/>
      <c r="E88" s="80"/>
      <c r="F88" s="80"/>
      <c r="G88" s="80"/>
      <c r="H88" s="79"/>
      <c r="J88" s="78"/>
      <c r="K88" s="78"/>
      <c r="L88" s="78"/>
      <c r="M88" s="78"/>
      <c r="N88" s="78"/>
      <c r="O88" s="78"/>
      <c r="P88" s="78"/>
      <c r="Q88" s="78"/>
    </row>
    <row r="89" spans="1:17" s="18" customFormat="1" hidden="1" x14ac:dyDescent="0.35">
      <c r="A89" s="80"/>
      <c r="B89" s="80"/>
      <c r="C89" s="238"/>
      <c r="D89" s="238"/>
      <c r="E89" s="80"/>
      <c r="F89" s="80"/>
      <c r="G89" s="80"/>
      <c r="H89" s="79"/>
      <c r="J89" s="78"/>
      <c r="K89" s="78"/>
      <c r="L89" s="78"/>
      <c r="M89" s="78"/>
      <c r="N89" s="78"/>
      <c r="O89" s="78"/>
      <c r="P89" s="78"/>
      <c r="Q89" s="78"/>
    </row>
    <row r="90" spans="1:17" s="18" customFormat="1" hidden="1" x14ac:dyDescent="0.35">
      <c r="A90" s="80"/>
      <c r="B90" s="80"/>
      <c r="C90" s="238"/>
      <c r="D90" s="238"/>
      <c r="E90" s="80"/>
      <c r="F90" s="80"/>
      <c r="G90" s="80"/>
      <c r="H90" s="79"/>
      <c r="J90" s="78"/>
      <c r="K90" s="78"/>
      <c r="L90" s="78"/>
      <c r="M90" s="78"/>
      <c r="N90" s="78"/>
      <c r="O90" s="78"/>
      <c r="P90" s="78"/>
      <c r="Q90" s="78"/>
    </row>
    <row r="91" spans="1:17" s="18" customFormat="1" ht="16" hidden="1" thickBot="1" x14ac:dyDescent="0.4">
      <c r="A91" s="80"/>
      <c r="B91" s="80"/>
      <c r="C91" s="238"/>
      <c r="D91" s="238"/>
      <c r="E91" s="80"/>
      <c r="F91" s="80"/>
      <c r="G91" s="80"/>
      <c r="H91" s="79"/>
      <c r="J91" s="78"/>
      <c r="K91" s="78"/>
      <c r="L91" s="78"/>
      <c r="M91" s="78"/>
      <c r="N91" s="78"/>
      <c r="O91" s="78"/>
      <c r="P91" s="78"/>
      <c r="Q91" s="78"/>
    </row>
    <row r="92" spans="1:17" s="18" customFormat="1" ht="16.5" hidden="1" thickTop="1" thickBot="1" x14ac:dyDescent="0.4">
      <c r="A92" s="213"/>
      <c r="B92" s="125" t="s">
        <v>227</v>
      </c>
      <c r="C92" s="126"/>
      <c r="D92" s="132" t="s">
        <v>25</v>
      </c>
      <c r="E92" s="80"/>
      <c r="F92" s="80"/>
      <c r="G92" s="80"/>
      <c r="H92" s="79"/>
      <c r="J92" s="78"/>
      <c r="K92" s="78"/>
      <c r="L92" s="78"/>
      <c r="M92" s="78"/>
      <c r="N92" s="78"/>
      <c r="O92" s="78"/>
      <c r="P92" s="78"/>
      <c r="Q92" s="78"/>
    </row>
    <row r="93" spans="1:17" s="18" customFormat="1" ht="16" hidden="1" thickTop="1" x14ac:dyDescent="0.35">
      <c r="A93" s="133" t="s">
        <v>75</v>
      </c>
      <c r="B93" s="384"/>
      <c r="C93" s="238"/>
      <c r="D93" s="238"/>
      <c r="E93" s="80"/>
      <c r="F93" s="80"/>
      <c r="G93" s="80"/>
      <c r="H93" s="79"/>
      <c r="J93" s="78"/>
      <c r="K93" s="78"/>
      <c r="L93" s="78"/>
      <c r="M93" s="78"/>
      <c r="N93" s="78"/>
      <c r="O93" s="78"/>
      <c r="P93" s="78"/>
      <c r="Q93" s="78"/>
    </row>
    <row r="94" spans="1:17" s="18" customFormat="1" ht="18" hidden="1" customHeight="1" x14ac:dyDescent="0.35">
      <c r="A94" s="149" t="s">
        <v>113</v>
      </c>
      <c r="B94" s="386"/>
      <c r="C94" s="238"/>
      <c r="D94" s="238"/>
      <c r="E94" s="80"/>
      <c r="F94" s="80"/>
      <c r="G94" s="80"/>
      <c r="H94" s="79"/>
      <c r="J94" s="78"/>
      <c r="K94" s="78"/>
      <c r="L94" s="78"/>
      <c r="M94" s="78"/>
      <c r="N94" s="78"/>
      <c r="O94" s="78"/>
      <c r="P94" s="78"/>
      <c r="Q94" s="78"/>
    </row>
    <row r="95" spans="1:17" s="18" customFormat="1" hidden="1" x14ac:dyDescent="0.35">
      <c r="A95" s="128" t="s">
        <v>228</v>
      </c>
      <c r="B95" s="265" t="b">
        <v>0</v>
      </c>
      <c r="C95" s="238"/>
      <c r="D95" s="239">
        <f t="shared" ref="D95:D108" si="3">IF(B95,C95,0)</f>
        <v>0</v>
      </c>
      <c r="E95" s="80"/>
      <c r="F95" s="80"/>
      <c r="G95" s="80"/>
      <c r="H95" s="79"/>
      <c r="J95" s="78"/>
      <c r="K95" s="78"/>
      <c r="L95" s="78"/>
      <c r="M95" s="78"/>
      <c r="N95" s="78"/>
      <c r="O95" s="78"/>
      <c r="P95" s="78"/>
      <c r="Q95" s="78"/>
    </row>
    <row r="96" spans="1:17" s="18" customFormat="1" hidden="1" x14ac:dyDescent="0.35">
      <c r="A96" s="128" t="s">
        <v>121</v>
      </c>
      <c r="B96" s="265" t="b">
        <v>0</v>
      </c>
      <c r="C96" s="238"/>
      <c r="D96" s="239">
        <f t="shared" si="3"/>
        <v>0</v>
      </c>
      <c r="E96" s="80"/>
      <c r="F96" s="80"/>
      <c r="G96" s="80"/>
      <c r="H96" s="79"/>
      <c r="J96" s="78"/>
      <c r="K96" s="78"/>
      <c r="L96" s="78"/>
      <c r="M96" s="78"/>
      <c r="N96" s="78"/>
      <c r="O96" s="78"/>
      <c r="P96" s="78"/>
      <c r="Q96" s="78"/>
    </row>
    <row r="97" spans="1:17" s="18" customFormat="1" hidden="1" x14ac:dyDescent="0.35">
      <c r="A97" s="128" t="s">
        <v>122</v>
      </c>
      <c r="B97" s="265" t="b">
        <v>0</v>
      </c>
      <c r="C97" s="238"/>
      <c r="D97" s="239">
        <f t="shared" si="3"/>
        <v>0</v>
      </c>
      <c r="E97" s="80"/>
      <c r="F97" s="80"/>
      <c r="G97" s="80"/>
      <c r="H97" s="79"/>
      <c r="J97" s="78"/>
      <c r="K97" s="78"/>
      <c r="L97" s="78"/>
      <c r="M97" s="78"/>
      <c r="N97" s="78"/>
      <c r="O97" s="78"/>
      <c r="P97" s="78"/>
      <c r="Q97" s="78"/>
    </row>
    <row r="98" spans="1:17" s="18" customFormat="1" hidden="1" x14ac:dyDescent="0.35">
      <c r="A98" s="128" t="s">
        <v>119</v>
      </c>
      <c r="B98" s="265" t="b">
        <v>0</v>
      </c>
      <c r="C98" s="238"/>
      <c r="D98" s="239">
        <f t="shared" si="3"/>
        <v>0</v>
      </c>
      <c r="E98" s="80"/>
      <c r="F98" s="80"/>
      <c r="G98" s="80"/>
      <c r="H98" s="79"/>
      <c r="J98" s="78"/>
      <c r="K98" s="78"/>
      <c r="L98" s="78"/>
      <c r="M98" s="78"/>
      <c r="N98" s="78"/>
      <c r="O98" s="78"/>
      <c r="P98" s="78"/>
      <c r="Q98" s="78"/>
    </row>
    <row r="99" spans="1:17" s="18" customFormat="1" ht="17.149999999999999" hidden="1" customHeight="1" x14ac:dyDescent="0.35">
      <c r="A99" s="128" t="s">
        <v>117</v>
      </c>
      <c r="B99" s="265" t="b">
        <v>0</v>
      </c>
      <c r="C99" s="239"/>
      <c r="D99" s="239">
        <f t="shared" si="3"/>
        <v>0</v>
      </c>
      <c r="E99" s="120"/>
      <c r="F99" s="120"/>
      <c r="G99" s="120"/>
      <c r="H99" s="120"/>
      <c r="J99" s="78"/>
      <c r="K99" s="78"/>
      <c r="L99" s="78"/>
      <c r="M99" s="78"/>
      <c r="N99" s="78"/>
      <c r="O99" s="78"/>
      <c r="P99" s="78"/>
      <c r="Q99" s="78"/>
    </row>
    <row r="100" spans="1:17" s="18" customFormat="1" ht="17.149999999999999" hidden="1" customHeight="1" x14ac:dyDescent="0.35">
      <c r="A100" s="128" t="s">
        <v>118</v>
      </c>
      <c r="B100" s="265" t="b">
        <v>0</v>
      </c>
      <c r="C100" s="239"/>
      <c r="D100" s="239">
        <f t="shared" si="3"/>
        <v>0</v>
      </c>
      <c r="E100" s="120"/>
      <c r="F100" s="120"/>
      <c r="G100" s="120"/>
      <c r="H100" s="120"/>
      <c r="J100" s="78"/>
      <c r="K100" s="78"/>
      <c r="L100" s="78"/>
      <c r="M100" s="78"/>
      <c r="N100" s="78"/>
      <c r="O100" s="78"/>
      <c r="P100" s="78"/>
      <c r="Q100" s="78"/>
    </row>
    <row r="101" spans="1:17" s="18" customFormat="1" hidden="1" x14ac:dyDescent="0.35">
      <c r="A101" s="152" t="s">
        <v>114</v>
      </c>
      <c r="B101" s="326"/>
      <c r="C101" s="238"/>
      <c r="D101" s="239">
        <f t="shared" si="3"/>
        <v>0</v>
      </c>
      <c r="E101" s="80"/>
      <c r="F101" s="80"/>
      <c r="G101" s="80"/>
      <c r="H101" s="79"/>
      <c r="J101" s="78"/>
      <c r="K101" s="78"/>
      <c r="L101" s="78"/>
      <c r="M101" s="78"/>
      <c r="N101" s="78"/>
      <c r="O101" s="78"/>
      <c r="P101" s="78"/>
      <c r="Q101" s="78"/>
    </row>
    <row r="102" spans="1:17" s="18" customFormat="1" hidden="1" x14ac:dyDescent="0.35">
      <c r="A102" s="128" t="s">
        <v>449</v>
      </c>
      <c r="B102" s="265" t="b">
        <v>0</v>
      </c>
      <c r="C102" s="241"/>
      <c r="D102" s="239">
        <f t="shared" si="3"/>
        <v>0</v>
      </c>
      <c r="E102" s="80"/>
      <c r="F102" s="80"/>
      <c r="G102" s="80"/>
      <c r="H102" s="79"/>
      <c r="J102" s="78"/>
      <c r="K102" s="78"/>
      <c r="L102" s="78"/>
      <c r="M102" s="78"/>
      <c r="N102" s="78"/>
      <c r="O102" s="78"/>
      <c r="P102" s="78"/>
      <c r="Q102" s="78"/>
    </row>
    <row r="103" spans="1:17" s="18" customFormat="1" hidden="1" x14ac:dyDescent="0.35">
      <c r="A103" s="128" t="s">
        <v>454</v>
      </c>
      <c r="B103" s="265" t="b">
        <v>0</v>
      </c>
      <c r="C103" s="241"/>
      <c r="D103" s="239">
        <f t="shared" si="3"/>
        <v>0</v>
      </c>
      <c r="E103" s="80"/>
      <c r="F103" s="80"/>
      <c r="G103" s="80"/>
      <c r="H103" s="79"/>
      <c r="J103" s="78"/>
      <c r="K103" s="78"/>
      <c r="L103" s="78"/>
      <c r="M103" s="78"/>
      <c r="N103" s="78"/>
      <c r="O103" s="78"/>
      <c r="P103" s="78"/>
      <c r="Q103" s="78"/>
    </row>
    <row r="104" spans="1:17" s="18" customFormat="1" hidden="1" x14ac:dyDescent="0.35">
      <c r="A104" s="128" t="s">
        <v>451</v>
      </c>
      <c r="B104" s="265" t="b">
        <v>0</v>
      </c>
      <c r="C104" s="240"/>
      <c r="D104" s="239">
        <f t="shared" si="3"/>
        <v>0</v>
      </c>
      <c r="E104" s="80"/>
      <c r="F104" s="80"/>
      <c r="G104" s="80"/>
      <c r="H104" s="79"/>
      <c r="J104" s="78"/>
      <c r="K104" s="78"/>
      <c r="L104" s="78"/>
      <c r="M104" s="78"/>
      <c r="N104" s="78"/>
      <c r="O104" s="78"/>
      <c r="P104" s="78"/>
      <c r="Q104" s="78"/>
    </row>
    <row r="105" spans="1:17" s="18" customFormat="1" hidden="1" x14ac:dyDescent="0.35">
      <c r="A105" s="128" t="s">
        <v>452</v>
      </c>
      <c r="B105" s="265" t="b">
        <v>0</v>
      </c>
      <c r="C105" s="240"/>
      <c r="D105" s="239">
        <f t="shared" si="3"/>
        <v>0</v>
      </c>
      <c r="E105" s="80"/>
      <c r="F105" s="80"/>
      <c r="G105" s="80"/>
      <c r="H105" s="79"/>
      <c r="J105" s="78"/>
      <c r="K105" s="78"/>
      <c r="L105" s="78"/>
      <c r="M105" s="78"/>
      <c r="N105" s="78"/>
      <c r="O105" s="78"/>
      <c r="P105" s="78"/>
      <c r="Q105" s="78"/>
    </row>
    <row r="106" spans="1:17" s="18" customFormat="1" hidden="1" x14ac:dyDescent="0.35">
      <c r="A106" s="128" t="s">
        <v>110</v>
      </c>
      <c r="B106" s="265" t="b">
        <v>0</v>
      </c>
      <c r="C106" s="239"/>
      <c r="D106" s="239">
        <f t="shared" si="3"/>
        <v>0</v>
      </c>
      <c r="E106" s="80"/>
      <c r="F106" s="80"/>
      <c r="G106" s="80"/>
      <c r="H106" s="79"/>
      <c r="J106" s="78"/>
      <c r="K106" s="78"/>
      <c r="L106" s="78"/>
      <c r="M106" s="78"/>
      <c r="N106" s="78"/>
      <c r="O106" s="78"/>
      <c r="P106" s="78"/>
      <c r="Q106" s="78"/>
    </row>
    <row r="107" spans="1:17" s="18" customFormat="1" hidden="1" x14ac:dyDescent="0.35">
      <c r="A107" s="128" t="s">
        <v>111</v>
      </c>
      <c r="B107" s="265" t="b">
        <v>0</v>
      </c>
      <c r="C107" s="239"/>
      <c r="D107" s="239">
        <f t="shared" si="3"/>
        <v>0</v>
      </c>
      <c r="E107" s="80"/>
      <c r="F107" s="80"/>
      <c r="G107" s="80"/>
      <c r="H107" s="79"/>
      <c r="J107" s="78"/>
      <c r="K107" s="78"/>
      <c r="L107" s="78"/>
      <c r="M107" s="78"/>
      <c r="N107" s="78"/>
      <c r="O107" s="78"/>
      <c r="P107" s="78"/>
      <c r="Q107" s="78"/>
    </row>
    <row r="108" spans="1:17" s="18" customFormat="1" ht="16" hidden="1" thickBot="1" x14ac:dyDescent="0.4">
      <c r="A108" s="129" t="s">
        <v>453</v>
      </c>
      <c r="B108" s="281" t="b">
        <v>0</v>
      </c>
      <c r="C108" s="239"/>
      <c r="D108" s="239">
        <f t="shared" si="3"/>
        <v>0</v>
      </c>
      <c r="E108" s="80"/>
      <c r="F108" s="80"/>
      <c r="G108" s="80"/>
      <c r="H108" s="79"/>
      <c r="J108" s="78"/>
      <c r="K108" s="78"/>
      <c r="L108" s="78"/>
      <c r="M108" s="78"/>
      <c r="N108" s="78"/>
      <c r="O108" s="78"/>
      <c r="P108" s="78"/>
      <c r="Q108" s="78"/>
    </row>
    <row r="109" spans="1:17" s="18" customFormat="1" ht="16.5" hidden="1" thickTop="1" thickBot="1" x14ac:dyDescent="0.4">
      <c r="A109" s="124"/>
      <c r="B109" s="122"/>
      <c r="C109" s="239"/>
      <c r="D109" s="238"/>
      <c r="E109" s="80"/>
      <c r="F109" s="80"/>
      <c r="G109" s="80"/>
      <c r="H109" s="79"/>
      <c r="J109" s="78"/>
      <c r="K109" s="78"/>
      <c r="L109" s="78"/>
      <c r="M109" s="78"/>
      <c r="N109" s="78"/>
      <c r="O109" s="78"/>
      <c r="P109" s="78"/>
      <c r="Q109" s="78"/>
    </row>
    <row r="110" spans="1:17" s="18" customFormat="1" ht="16" hidden="1" thickBot="1" x14ac:dyDescent="0.4">
      <c r="A110" s="134" t="s">
        <v>27</v>
      </c>
      <c r="B110" s="135">
        <f>IFERROR(D110/C110,0)</f>
        <v>0</v>
      </c>
      <c r="C110" s="238"/>
      <c r="D110" s="238">
        <f>SUM(D95:D108)</f>
        <v>0</v>
      </c>
      <c r="E110" s="80"/>
      <c r="F110" s="80"/>
      <c r="G110" s="80"/>
      <c r="H110" s="79"/>
      <c r="J110" s="78"/>
      <c r="K110" s="78"/>
      <c r="L110" s="78"/>
      <c r="M110" s="78"/>
      <c r="N110" s="78"/>
      <c r="O110" s="78"/>
      <c r="P110" s="78"/>
      <c r="Q110" s="78"/>
    </row>
    <row r="111" spans="1:17" s="18" customFormat="1" hidden="1" x14ac:dyDescent="0.35">
      <c r="A111" s="80"/>
      <c r="B111" s="80"/>
      <c r="C111" s="238"/>
      <c r="D111" s="238"/>
      <c r="E111" s="80"/>
      <c r="F111" s="80"/>
      <c r="G111" s="80"/>
      <c r="H111" s="79"/>
      <c r="J111" s="78"/>
      <c r="K111" s="78"/>
      <c r="L111" s="78"/>
      <c r="M111" s="78"/>
      <c r="N111" s="78"/>
      <c r="O111" s="78"/>
      <c r="P111" s="78"/>
      <c r="Q111" s="78"/>
    </row>
    <row r="112" spans="1:17" s="18" customFormat="1" ht="16" hidden="1" thickBot="1" x14ac:dyDescent="0.4">
      <c r="A112" s="80"/>
      <c r="B112" s="80"/>
      <c r="C112" s="238"/>
      <c r="D112" s="238"/>
      <c r="E112" s="80"/>
      <c r="F112" s="80"/>
      <c r="G112" s="80"/>
      <c r="H112" s="79"/>
      <c r="J112" s="78"/>
      <c r="K112" s="78"/>
      <c r="L112" s="78"/>
      <c r="M112" s="78"/>
      <c r="N112" s="78"/>
      <c r="O112" s="78"/>
      <c r="P112" s="78"/>
      <c r="Q112" s="78"/>
    </row>
    <row r="113" spans="1:17" s="18" customFormat="1" ht="16.5" hidden="1" thickTop="1" thickBot="1" x14ac:dyDescent="0.4">
      <c r="A113" s="213"/>
      <c r="B113" s="125" t="s">
        <v>227</v>
      </c>
      <c r="C113" s="126"/>
      <c r="D113" s="132" t="s">
        <v>25</v>
      </c>
      <c r="E113" s="80"/>
      <c r="F113" s="80"/>
      <c r="G113" s="80"/>
      <c r="H113" s="79"/>
      <c r="J113" s="78"/>
      <c r="K113" s="78"/>
      <c r="L113" s="78"/>
      <c r="M113" s="78"/>
      <c r="N113" s="78"/>
      <c r="O113" s="78"/>
      <c r="P113" s="78"/>
      <c r="Q113" s="78"/>
    </row>
    <row r="114" spans="1:17" s="18" customFormat="1" ht="16" hidden="1" thickTop="1" x14ac:dyDescent="0.35">
      <c r="A114" s="133" t="s">
        <v>93</v>
      </c>
      <c r="B114" s="384"/>
      <c r="C114" s="238"/>
      <c r="D114" s="238"/>
      <c r="E114" s="80"/>
      <c r="F114" s="80"/>
      <c r="G114" s="80"/>
      <c r="H114" s="79"/>
      <c r="J114" s="78"/>
      <c r="K114" s="78"/>
      <c r="L114" s="78"/>
      <c r="M114" s="78"/>
      <c r="N114" s="78"/>
      <c r="O114" s="78"/>
      <c r="P114" s="78"/>
      <c r="Q114" s="78"/>
    </row>
    <row r="115" spans="1:17" s="18" customFormat="1" hidden="1" x14ac:dyDescent="0.35">
      <c r="A115" s="149" t="s">
        <v>113</v>
      </c>
      <c r="B115" s="386"/>
      <c r="C115" s="238"/>
      <c r="D115" s="238"/>
      <c r="E115" s="80"/>
      <c r="F115" s="80"/>
      <c r="G115" s="80"/>
      <c r="H115" s="79"/>
      <c r="J115" s="78"/>
      <c r="K115" s="78"/>
      <c r="L115" s="78"/>
      <c r="M115" s="78"/>
      <c r="N115" s="78"/>
      <c r="O115" s="78"/>
      <c r="P115" s="78"/>
      <c r="Q115" s="78"/>
    </row>
    <row r="116" spans="1:17" s="18" customFormat="1" hidden="1" x14ac:dyDescent="0.35">
      <c r="A116" s="128" t="s">
        <v>123</v>
      </c>
      <c r="B116" s="265" t="b">
        <v>0</v>
      </c>
      <c r="C116" s="238"/>
      <c r="D116" s="239">
        <f t="shared" ref="D116:D128" si="4">IF(B116,C116,0)</f>
        <v>0</v>
      </c>
      <c r="E116" s="80"/>
      <c r="F116" s="80"/>
      <c r="G116" s="80"/>
      <c r="H116" s="79"/>
      <c r="J116" s="78"/>
      <c r="K116" s="78"/>
      <c r="L116" s="78"/>
      <c r="M116" s="78"/>
      <c r="N116" s="78"/>
      <c r="O116" s="78"/>
      <c r="P116" s="78"/>
      <c r="Q116" s="78"/>
    </row>
    <row r="117" spans="1:17" s="18" customFormat="1" hidden="1" x14ac:dyDescent="0.35">
      <c r="A117" s="128" t="s">
        <v>122</v>
      </c>
      <c r="B117" s="265" t="b">
        <v>0</v>
      </c>
      <c r="C117" s="238"/>
      <c r="D117" s="239">
        <f t="shared" si="4"/>
        <v>0</v>
      </c>
      <c r="E117" s="80"/>
      <c r="F117" s="80"/>
      <c r="G117" s="80"/>
      <c r="H117" s="79"/>
      <c r="J117" s="78"/>
      <c r="K117" s="78"/>
      <c r="L117" s="78"/>
      <c r="M117" s="78"/>
      <c r="N117" s="78"/>
      <c r="O117" s="78"/>
      <c r="P117" s="78"/>
      <c r="Q117" s="78"/>
    </row>
    <row r="118" spans="1:17" s="18" customFormat="1" hidden="1" x14ac:dyDescent="0.35">
      <c r="A118" s="128" t="s">
        <v>119</v>
      </c>
      <c r="B118" s="265" t="b">
        <v>0</v>
      </c>
      <c r="C118" s="238"/>
      <c r="D118" s="239">
        <f t="shared" si="4"/>
        <v>0</v>
      </c>
      <c r="E118" s="80"/>
      <c r="F118" s="80"/>
      <c r="G118" s="80"/>
      <c r="H118" s="79"/>
      <c r="J118" s="78"/>
      <c r="K118" s="78"/>
      <c r="L118" s="78"/>
      <c r="M118" s="78"/>
      <c r="N118" s="78"/>
      <c r="O118" s="78"/>
      <c r="P118" s="78"/>
      <c r="Q118" s="78"/>
    </row>
    <row r="119" spans="1:17" s="18" customFormat="1" hidden="1" x14ac:dyDescent="0.35">
      <c r="A119" s="128" t="s">
        <v>118</v>
      </c>
      <c r="B119" s="265" t="b">
        <v>0</v>
      </c>
      <c r="C119" s="238"/>
      <c r="D119" s="239">
        <f t="shared" si="4"/>
        <v>0</v>
      </c>
      <c r="E119" s="80"/>
      <c r="F119" s="80"/>
      <c r="G119" s="80"/>
      <c r="H119" s="79"/>
      <c r="J119" s="78"/>
      <c r="K119" s="78"/>
      <c r="L119" s="78"/>
      <c r="M119" s="78"/>
      <c r="N119" s="78"/>
      <c r="O119" s="78"/>
      <c r="P119" s="78"/>
      <c r="Q119" s="78"/>
    </row>
    <row r="120" spans="1:17" s="18" customFormat="1" ht="17.149999999999999" hidden="1" customHeight="1" x14ac:dyDescent="0.35">
      <c r="A120" s="128" t="s">
        <v>118</v>
      </c>
      <c r="B120" s="265" t="b">
        <v>0</v>
      </c>
      <c r="C120" s="239"/>
      <c r="D120" s="239">
        <f t="shared" si="4"/>
        <v>0</v>
      </c>
      <c r="E120" s="120"/>
      <c r="F120" s="120"/>
      <c r="G120" s="120"/>
      <c r="H120" s="120"/>
      <c r="J120" s="78"/>
      <c r="K120" s="78"/>
      <c r="L120" s="78"/>
      <c r="M120" s="78"/>
      <c r="N120" s="78"/>
      <c r="O120" s="78"/>
      <c r="P120" s="78"/>
      <c r="Q120" s="78"/>
    </row>
    <row r="121" spans="1:17" s="18" customFormat="1" hidden="1" x14ac:dyDescent="0.35">
      <c r="A121" s="152" t="s">
        <v>114</v>
      </c>
      <c r="B121" s="326"/>
      <c r="C121" s="238"/>
      <c r="D121" s="239"/>
      <c r="E121" s="80"/>
      <c r="F121" s="80"/>
      <c r="G121" s="80"/>
      <c r="H121" s="79"/>
      <c r="J121" s="78"/>
      <c r="K121" s="78"/>
      <c r="L121" s="78"/>
      <c r="M121" s="78"/>
      <c r="N121" s="78"/>
      <c r="O121" s="78"/>
      <c r="P121" s="78"/>
      <c r="Q121" s="78"/>
    </row>
    <row r="122" spans="1:17" s="18" customFormat="1" hidden="1" x14ac:dyDescent="0.35">
      <c r="A122" s="128" t="s">
        <v>449</v>
      </c>
      <c r="B122" s="265" t="b">
        <v>0</v>
      </c>
      <c r="C122" s="238"/>
      <c r="D122" s="239">
        <f t="shared" si="4"/>
        <v>0</v>
      </c>
      <c r="E122" s="80"/>
      <c r="F122" s="80"/>
      <c r="G122" s="80"/>
      <c r="H122" s="79"/>
      <c r="J122" s="78"/>
      <c r="K122" s="78"/>
      <c r="L122" s="78"/>
      <c r="M122" s="78"/>
      <c r="N122" s="78"/>
      <c r="O122" s="78"/>
      <c r="P122" s="78"/>
      <c r="Q122" s="78"/>
    </row>
    <row r="123" spans="1:17" s="18" customFormat="1" hidden="1" x14ac:dyDescent="0.35">
      <c r="A123" s="128" t="s">
        <v>454</v>
      </c>
      <c r="B123" s="265" t="b">
        <v>0</v>
      </c>
      <c r="C123" s="238"/>
      <c r="D123" s="239">
        <f t="shared" si="4"/>
        <v>0</v>
      </c>
      <c r="E123" s="80"/>
      <c r="F123" s="80"/>
      <c r="G123" s="80"/>
      <c r="H123" s="79"/>
      <c r="J123" s="78"/>
      <c r="K123" s="78"/>
      <c r="L123" s="78"/>
      <c r="M123" s="78"/>
      <c r="N123" s="78"/>
      <c r="O123" s="78"/>
      <c r="P123" s="78"/>
      <c r="Q123" s="78"/>
    </row>
    <row r="124" spans="1:17" s="18" customFormat="1" hidden="1" x14ac:dyDescent="0.35">
      <c r="A124" s="128" t="s">
        <v>451</v>
      </c>
      <c r="B124" s="265" t="b">
        <v>0</v>
      </c>
      <c r="C124" s="238"/>
      <c r="D124" s="239">
        <f t="shared" si="4"/>
        <v>0</v>
      </c>
      <c r="E124" s="80"/>
      <c r="F124" s="80"/>
      <c r="G124" s="80"/>
      <c r="H124" s="79"/>
      <c r="J124" s="78"/>
      <c r="K124" s="78"/>
      <c r="L124" s="78"/>
      <c r="M124" s="78"/>
      <c r="N124" s="78"/>
      <c r="O124" s="78"/>
      <c r="P124" s="78"/>
      <c r="Q124" s="78"/>
    </row>
    <row r="125" spans="1:17" s="18" customFormat="1" hidden="1" x14ac:dyDescent="0.35">
      <c r="A125" s="128" t="s">
        <v>452</v>
      </c>
      <c r="B125" s="265" t="b">
        <v>0</v>
      </c>
      <c r="C125" s="238"/>
      <c r="D125" s="239">
        <f t="shared" si="4"/>
        <v>0</v>
      </c>
      <c r="E125" s="80"/>
      <c r="F125" s="80"/>
      <c r="G125" s="80"/>
      <c r="H125" s="79"/>
      <c r="J125" s="78"/>
      <c r="K125" s="78"/>
      <c r="L125" s="78"/>
      <c r="M125" s="78"/>
      <c r="N125" s="78"/>
      <c r="O125" s="78"/>
      <c r="P125" s="78"/>
      <c r="Q125" s="78"/>
    </row>
    <row r="126" spans="1:17" s="18" customFormat="1" hidden="1" x14ac:dyDescent="0.35">
      <c r="A126" s="128" t="s">
        <v>110</v>
      </c>
      <c r="B126" s="265" t="b">
        <v>0</v>
      </c>
      <c r="C126" s="238"/>
      <c r="D126" s="239">
        <f t="shared" si="4"/>
        <v>0</v>
      </c>
      <c r="E126" s="80"/>
      <c r="F126" s="80"/>
      <c r="G126" s="80"/>
      <c r="H126" s="79"/>
      <c r="J126" s="78"/>
      <c r="K126" s="78"/>
      <c r="L126" s="78"/>
      <c r="M126" s="78"/>
      <c r="N126" s="78"/>
      <c r="O126" s="78"/>
      <c r="P126" s="78"/>
      <c r="Q126" s="78"/>
    </row>
    <row r="127" spans="1:17" s="18" customFormat="1" hidden="1" x14ac:dyDescent="0.35">
      <c r="A127" s="128" t="s">
        <v>111</v>
      </c>
      <c r="B127" s="265" t="b">
        <v>0</v>
      </c>
      <c r="C127" s="238"/>
      <c r="D127" s="239">
        <f t="shared" si="4"/>
        <v>0</v>
      </c>
      <c r="E127" s="80"/>
      <c r="F127" s="80"/>
      <c r="G127" s="80"/>
      <c r="H127" s="79"/>
      <c r="J127" s="78"/>
      <c r="K127" s="78"/>
      <c r="L127" s="78"/>
      <c r="M127" s="78"/>
      <c r="N127" s="78"/>
      <c r="O127" s="78"/>
      <c r="P127" s="78"/>
      <c r="Q127" s="78"/>
    </row>
    <row r="128" spans="1:17" s="18" customFormat="1" ht="16" hidden="1" thickBot="1" x14ac:dyDescent="0.4">
      <c r="A128" s="129" t="s">
        <v>453</v>
      </c>
      <c r="B128" s="338" t="b">
        <v>0</v>
      </c>
      <c r="C128" s="238"/>
      <c r="D128" s="239">
        <f t="shared" si="4"/>
        <v>0</v>
      </c>
      <c r="E128" s="80"/>
      <c r="F128" s="80"/>
      <c r="G128" s="80"/>
      <c r="H128" s="79"/>
      <c r="J128" s="78"/>
      <c r="K128" s="78"/>
      <c r="L128" s="78"/>
      <c r="M128" s="78"/>
      <c r="N128" s="78"/>
      <c r="O128" s="78"/>
      <c r="P128" s="78"/>
      <c r="Q128" s="78"/>
    </row>
    <row r="129" spans="1:17" s="18" customFormat="1" ht="16.5" hidden="1" thickTop="1" thickBot="1" x14ac:dyDescent="0.4">
      <c r="A129" s="124"/>
      <c r="B129" s="1"/>
      <c r="C129" s="238"/>
      <c r="D129" s="238"/>
      <c r="E129" s="80"/>
      <c r="F129" s="80"/>
      <c r="G129" s="80"/>
      <c r="H129" s="79"/>
      <c r="J129" s="78"/>
      <c r="K129" s="78"/>
      <c r="L129" s="78"/>
      <c r="M129" s="78"/>
      <c r="N129" s="78"/>
      <c r="O129" s="78"/>
      <c r="P129" s="78"/>
      <c r="Q129" s="78"/>
    </row>
    <row r="130" spans="1:17" s="18" customFormat="1" ht="16" hidden="1" thickBot="1" x14ac:dyDescent="0.4">
      <c r="A130" s="134" t="s">
        <v>27</v>
      </c>
      <c r="B130" s="135">
        <f>IFERROR(D130/C130,0)</f>
        <v>0</v>
      </c>
      <c r="C130" s="238"/>
      <c r="D130" s="238">
        <f>SUM(D116:D128)</f>
        <v>0</v>
      </c>
      <c r="E130" s="80"/>
      <c r="F130" s="80"/>
      <c r="G130" s="80"/>
      <c r="H130" s="79"/>
      <c r="J130" s="78"/>
      <c r="K130" s="78"/>
      <c r="L130" s="78"/>
      <c r="M130" s="78"/>
      <c r="N130" s="78"/>
      <c r="O130" s="78"/>
      <c r="P130" s="78"/>
      <c r="Q130" s="78"/>
    </row>
    <row r="131" spans="1:17" s="18" customFormat="1" ht="16" thickBot="1" x14ac:dyDescent="0.4">
      <c r="A131" s="153"/>
      <c r="B131" s="154"/>
      <c r="C131" s="238"/>
      <c r="D131" s="238"/>
      <c r="E131" s="80"/>
      <c r="F131" s="80"/>
      <c r="G131" s="80"/>
      <c r="H131" s="79"/>
      <c r="J131" s="78"/>
      <c r="K131" s="78"/>
      <c r="L131" s="78"/>
      <c r="M131" s="78"/>
      <c r="N131" s="78"/>
      <c r="O131" s="78"/>
      <c r="P131" s="78"/>
      <c r="Q131" s="78"/>
    </row>
    <row r="132" spans="1:17" s="18" customFormat="1" ht="16.5" thickTop="1" thickBot="1" x14ac:dyDescent="0.4">
      <c r="A132" s="213"/>
      <c r="B132" s="125" t="s">
        <v>227</v>
      </c>
      <c r="C132" s="126" t="s">
        <v>24</v>
      </c>
      <c r="D132" s="132" t="s">
        <v>25</v>
      </c>
      <c r="E132" s="80"/>
      <c r="F132" s="80"/>
      <c r="G132" s="80"/>
      <c r="H132" s="79"/>
      <c r="J132" s="78"/>
      <c r="K132" s="78"/>
      <c r="L132" s="78"/>
      <c r="M132" s="78"/>
      <c r="N132" s="78"/>
      <c r="O132" s="78"/>
      <c r="P132" s="78"/>
      <c r="Q132" s="78"/>
    </row>
    <row r="133" spans="1:17" s="18" customFormat="1" ht="16" thickTop="1" x14ac:dyDescent="0.35">
      <c r="A133" s="133" t="s">
        <v>85</v>
      </c>
      <c r="B133" s="384"/>
      <c r="C133" s="238"/>
      <c r="D133" s="238"/>
      <c r="E133" s="80"/>
      <c r="F133" s="80"/>
      <c r="G133" s="80"/>
      <c r="H133" s="79"/>
      <c r="J133" s="78"/>
      <c r="K133" s="78"/>
      <c r="L133" s="78"/>
      <c r="M133" s="78"/>
      <c r="N133" s="78"/>
      <c r="O133" s="78"/>
      <c r="P133" s="78"/>
      <c r="Q133" s="78"/>
    </row>
    <row r="134" spans="1:17" s="18" customFormat="1" ht="17.149999999999999" customHeight="1" x14ac:dyDescent="0.35">
      <c r="A134" s="128" t="s">
        <v>449</v>
      </c>
      <c r="B134" s="265" t="b">
        <v>0</v>
      </c>
      <c r="C134" s="241">
        <v>10</v>
      </c>
      <c r="D134" s="239">
        <f t="shared" ref="D134:D142" si="5">IF(B134,C134,0)</f>
        <v>0</v>
      </c>
      <c r="E134" s="121"/>
      <c r="F134" s="121"/>
      <c r="G134" s="121"/>
      <c r="H134" s="121"/>
      <c r="J134" s="78"/>
      <c r="K134" s="78"/>
      <c r="L134" s="78"/>
      <c r="M134" s="78"/>
      <c r="N134" s="78"/>
      <c r="O134" s="78"/>
      <c r="P134" s="78"/>
      <c r="Q134" s="78"/>
    </row>
    <row r="135" spans="1:17" s="18" customFormat="1" x14ac:dyDescent="0.35">
      <c r="A135" s="127" t="s">
        <v>450</v>
      </c>
      <c r="B135" s="265" t="b">
        <v>0</v>
      </c>
      <c r="C135" s="238">
        <v>10</v>
      </c>
      <c r="D135" s="239">
        <f t="shared" si="5"/>
        <v>0</v>
      </c>
      <c r="E135" s="80"/>
      <c r="F135" s="80"/>
      <c r="G135" s="80"/>
      <c r="H135" s="79"/>
      <c r="J135" s="78"/>
      <c r="K135" s="78"/>
      <c r="L135" s="78"/>
      <c r="M135" s="78"/>
      <c r="N135" s="78"/>
      <c r="O135" s="78"/>
      <c r="P135" s="78"/>
      <c r="Q135" s="78"/>
    </row>
    <row r="136" spans="1:17" s="18" customFormat="1" x14ac:dyDescent="0.35">
      <c r="A136" s="128" t="s">
        <v>451</v>
      </c>
      <c r="B136" s="265" t="b">
        <v>0</v>
      </c>
      <c r="C136" s="238">
        <v>8</v>
      </c>
      <c r="D136" s="239">
        <f t="shared" si="5"/>
        <v>0</v>
      </c>
      <c r="E136" s="80"/>
      <c r="F136" s="80"/>
      <c r="G136" s="80"/>
      <c r="H136" s="79"/>
      <c r="J136" s="78"/>
      <c r="K136" s="78"/>
      <c r="L136" s="78"/>
      <c r="M136" s="78"/>
      <c r="N136" s="78"/>
      <c r="O136" s="78"/>
      <c r="P136" s="78"/>
      <c r="Q136" s="78"/>
    </row>
    <row r="137" spans="1:17" s="18" customFormat="1" x14ac:dyDescent="0.35">
      <c r="A137" s="128" t="s">
        <v>452</v>
      </c>
      <c r="B137" s="265" t="s">
        <v>481</v>
      </c>
      <c r="C137" s="238">
        <v>0</v>
      </c>
      <c r="D137" s="239">
        <v>0</v>
      </c>
      <c r="E137" s="80"/>
      <c r="F137" s="80"/>
      <c r="G137" s="80"/>
      <c r="H137" s="79"/>
      <c r="J137" s="78"/>
      <c r="K137" s="78"/>
      <c r="L137" s="78"/>
      <c r="M137" s="78"/>
      <c r="N137" s="78"/>
      <c r="O137" s="78"/>
      <c r="P137" s="78"/>
      <c r="Q137" s="78"/>
    </row>
    <row r="138" spans="1:17" s="18" customFormat="1" ht="17.149999999999999" customHeight="1" x14ac:dyDescent="0.35">
      <c r="A138" s="128" t="s">
        <v>111</v>
      </c>
      <c r="B138" s="265" t="s">
        <v>481</v>
      </c>
      <c r="C138" s="239">
        <v>0</v>
      </c>
      <c r="D138" s="239">
        <v>0</v>
      </c>
      <c r="E138" s="120"/>
      <c r="F138" s="120"/>
      <c r="G138" s="120"/>
      <c r="H138" s="120"/>
      <c r="J138" s="78"/>
      <c r="K138" s="78"/>
      <c r="L138" s="78"/>
      <c r="M138" s="78"/>
      <c r="N138" s="78"/>
      <c r="O138" s="78"/>
      <c r="P138" s="78"/>
      <c r="Q138" s="78"/>
    </row>
    <row r="139" spans="1:17" s="18" customFormat="1" ht="17.149999999999999" customHeight="1" x14ac:dyDescent="0.35">
      <c r="A139" s="128" t="s">
        <v>453</v>
      </c>
      <c r="B139" s="265" t="s">
        <v>481</v>
      </c>
      <c r="C139" s="239">
        <v>0</v>
      </c>
      <c r="D139" s="239">
        <v>0</v>
      </c>
      <c r="E139" s="120"/>
      <c r="F139" s="120"/>
      <c r="G139" s="120"/>
      <c r="H139" s="120"/>
      <c r="J139" s="78"/>
      <c r="K139" s="78"/>
      <c r="L139" s="78"/>
      <c r="M139" s="78"/>
      <c r="N139" s="78"/>
      <c r="O139" s="78"/>
      <c r="P139" s="78"/>
      <c r="Q139" s="78"/>
    </row>
    <row r="140" spans="1:17" s="18" customFormat="1" x14ac:dyDescent="0.35">
      <c r="A140" s="128" t="s">
        <v>124</v>
      </c>
      <c r="B140" s="265" t="s">
        <v>481</v>
      </c>
      <c r="C140" s="238">
        <v>0</v>
      </c>
      <c r="D140" s="239">
        <v>0</v>
      </c>
      <c r="E140" s="80"/>
      <c r="F140" s="80"/>
      <c r="G140" s="80"/>
      <c r="H140" s="79"/>
      <c r="J140" s="78"/>
      <c r="K140" s="78"/>
      <c r="L140" s="78"/>
      <c r="M140" s="78"/>
      <c r="N140" s="78"/>
      <c r="O140" s="78"/>
      <c r="P140" s="78"/>
      <c r="Q140" s="78"/>
    </row>
    <row r="141" spans="1:17" s="18" customFormat="1" x14ac:dyDescent="0.35">
      <c r="A141" s="128" t="s">
        <v>76</v>
      </c>
      <c r="B141" s="265" t="b">
        <v>0</v>
      </c>
      <c r="C141" s="238">
        <v>7</v>
      </c>
      <c r="D141" s="239">
        <f t="shared" si="5"/>
        <v>0</v>
      </c>
      <c r="E141" s="80"/>
      <c r="F141" s="80"/>
      <c r="G141" s="80"/>
      <c r="H141" s="79"/>
      <c r="J141" s="78"/>
      <c r="K141" s="78"/>
      <c r="L141" s="78"/>
      <c r="M141" s="78"/>
      <c r="N141" s="78"/>
      <c r="O141" s="78"/>
      <c r="P141" s="78"/>
      <c r="Q141" s="78"/>
    </row>
    <row r="142" spans="1:17" s="18" customFormat="1" ht="16" thickBot="1" x14ac:dyDescent="0.4">
      <c r="A142" s="129" t="s">
        <v>76</v>
      </c>
      <c r="B142" s="281" t="b">
        <v>0</v>
      </c>
      <c r="C142" s="238">
        <v>7</v>
      </c>
      <c r="D142" s="239">
        <f t="shared" si="5"/>
        <v>0</v>
      </c>
      <c r="E142" s="80"/>
      <c r="F142" s="80"/>
      <c r="G142" s="80"/>
      <c r="H142" s="79"/>
      <c r="J142" s="78"/>
      <c r="K142" s="78"/>
      <c r="L142" s="78"/>
      <c r="M142" s="78"/>
      <c r="N142" s="78"/>
      <c r="O142" s="78"/>
      <c r="P142" s="78"/>
      <c r="Q142" s="78"/>
    </row>
    <row r="143" spans="1:17" s="18" customFormat="1" ht="16.5" thickTop="1" thickBot="1" x14ac:dyDescent="0.4">
      <c r="A143" s="80"/>
      <c r="B143" s="80"/>
      <c r="C143" s="238"/>
      <c r="D143" s="238"/>
      <c r="E143" s="80"/>
      <c r="F143" s="80"/>
      <c r="G143" s="80"/>
      <c r="H143" s="79"/>
      <c r="J143" s="78"/>
      <c r="K143" s="78"/>
      <c r="L143" s="78"/>
      <c r="M143" s="78"/>
      <c r="N143" s="78"/>
      <c r="O143" s="78"/>
      <c r="P143" s="78"/>
      <c r="Q143" s="78"/>
    </row>
    <row r="144" spans="1:17" s="18" customFormat="1" ht="16" thickBot="1" x14ac:dyDescent="0.4">
      <c r="A144" s="134" t="s">
        <v>27</v>
      </c>
      <c r="B144" s="135">
        <f>IFERROR(D144/C144,0)</f>
        <v>0</v>
      </c>
      <c r="C144" s="238">
        <f>SUM(C134:C142)</f>
        <v>42</v>
      </c>
      <c r="D144" s="238">
        <f>SUM(D134:D142)</f>
        <v>0</v>
      </c>
      <c r="E144" s="80"/>
      <c r="F144" s="80"/>
      <c r="G144" s="80"/>
      <c r="H144" s="79"/>
      <c r="J144" s="78"/>
      <c r="K144" s="78"/>
      <c r="L144" s="78"/>
      <c r="M144" s="78"/>
      <c r="N144" s="78"/>
      <c r="O144" s="78"/>
      <c r="P144" s="78"/>
      <c r="Q144" s="78"/>
    </row>
    <row r="145" spans="1:17" s="18" customFormat="1" ht="16" hidden="1" thickBot="1" x14ac:dyDescent="0.4">
      <c r="A145" s="80"/>
      <c r="B145" s="80"/>
      <c r="C145" s="238"/>
      <c r="D145" s="238"/>
      <c r="E145" s="80"/>
      <c r="F145" s="80"/>
      <c r="G145" s="80"/>
      <c r="H145" s="79"/>
      <c r="J145" s="78"/>
      <c r="K145" s="78"/>
      <c r="L145" s="78"/>
      <c r="M145" s="78"/>
      <c r="N145" s="78"/>
      <c r="O145" s="78"/>
      <c r="P145" s="78"/>
      <c r="Q145" s="78"/>
    </row>
    <row r="146" spans="1:17" s="18" customFormat="1" ht="16.5" hidden="1" thickTop="1" thickBot="1" x14ac:dyDescent="0.4">
      <c r="A146" s="213"/>
      <c r="B146" s="125" t="s">
        <v>227</v>
      </c>
      <c r="C146" s="126"/>
      <c r="D146" s="132" t="s">
        <v>25</v>
      </c>
      <c r="E146" s="80"/>
      <c r="F146" s="80"/>
      <c r="G146" s="80"/>
      <c r="H146" s="79"/>
      <c r="J146" s="78"/>
      <c r="K146" s="78"/>
      <c r="L146" s="78"/>
      <c r="M146" s="78"/>
      <c r="N146" s="78"/>
      <c r="O146" s="78"/>
      <c r="P146" s="78"/>
      <c r="Q146" s="78"/>
    </row>
    <row r="147" spans="1:17" s="18" customFormat="1" ht="16" hidden="1" thickTop="1" x14ac:dyDescent="0.35">
      <c r="A147" s="133" t="s">
        <v>86</v>
      </c>
      <c r="B147" s="384"/>
      <c r="C147" s="238"/>
      <c r="D147" s="238"/>
      <c r="E147" s="80"/>
      <c r="F147" s="80"/>
      <c r="G147" s="80"/>
      <c r="H147" s="79"/>
      <c r="J147" s="78"/>
      <c r="K147" s="78"/>
      <c r="L147" s="78"/>
      <c r="M147" s="78"/>
      <c r="N147" s="78"/>
      <c r="O147" s="78"/>
      <c r="P147" s="78"/>
      <c r="Q147" s="78"/>
    </row>
    <row r="148" spans="1:17" s="18" customFormat="1" hidden="1" x14ac:dyDescent="0.35">
      <c r="A148" s="128" t="s">
        <v>449</v>
      </c>
      <c r="B148" s="265" t="b">
        <v>0</v>
      </c>
      <c r="C148" s="238"/>
      <c r="D148" s="239">
        <f t="shared" ref="D148:D154" si="6">IF(B148,C148,0)</f>
        <v>0</v>
      </c>
      <c r="E148" s="80"/>
      <c r="F148" s="80"/>
      <c r="G148" s="80"/>
      <c r="H148" s="79"/>
      <c r="J148" s="78"/>
      <c r="K148" s="78"/>
      <c r="L148" s="78"/>
      <c r="M148" s="78"/>
      <c r="N148" s="78"/>
      <c r="O148" s="78"/>
      <c r="P148" s="78"/>
      <c r="Q148" s="78"/>
    </row>
    <row r="149" spans="1:17" s="18" customFormat="1" hidden="1" x14ac:dyDescent="0.35">
      <c r="A149" s="127" t="s">
        <v>454</v>
      </c>
      <c r="B149" s="265" t="b">
        <v>0</v>
      </c>
      <c r="C149" s="238"/>
      <c r="D149" s="239">
        <f t="shared" si="6"/>
        <v>0</v>
      </c>
      <c r="E149" s="80"/>
      <c r="F149" s="80"/>
      <c r="G149" s="80"/>
      <c r="H149" s="79"/>
      <c r="J149" s="78"/>
      <c r="K149" s="78"/>
      <c r="L149" s="78"/>
      <c r="M149" s="78"/>
      <c r="N149" s="78"/>
      <c r="O149" s="78"/>
      <c r="P149" s="78"/>
      <c r="Q149" s="78"/>
    </row>
    <row r="150" spans="1:17" s="18" customFormat="1" hidden="1" x14ac:dyDescent="0.35">
      <c r="A150" s="127" t="s">
        <v>451</v>
      </c>
      <c r="B150" s="265" t="b">
        <v>0</v>
      </c>
      <c r="C150" s="238"/>
      <c r="D150" s="239">
        <f t="shared" si="6"/>
        <v>0</v>
      </c>
      <c r="E150" s="80"/>
      <c r="F150" s="80"/>
      <c r="G150" s="80"/>
      <c r="H150" s="79"/>
      <c r="J150" s="78"/>
      <c r="K150" s="78"/>
      <c r="L150" s="78"/>
      <c r="M150" s="78"/>
      <c r="N150" s="78"/>
      <c r="O150" s="78"/>
      <c r="P150" s="78"/>
      <c r="Q150" s="78"/>
    </row>
    <row r="151" spans="1:17" s="18" customFormat="1" hidden="1" x14ac:dyDescent="0.35">
      <c r="A151" s="128" t="s">
        <v>452</v>
      </c>
      <c r="B151" s="265" t="b">
        <v>0</v>
      </c>
      <c r="C151" s="238"/>
      <c r="D151" s="239">
        <f t="shared" si="6"/>
        <v>0</v>
      </c>
      <c r="E151" s="80"/>
      <c r="F151" s="80"/>
      <c r="G151" s="80"/>
      <c r="H151" s="79"/>
      <c r="J151" s="78"/>
      <c r="K151" s="78"/>
      <c r="L151" s="78"/>
      <c r="M151" s="78"/>
      <c r="N151" s="78"/>
      <c r="O151" s="78"/>
      <c r="P151" s="78"/>
      <c r="Q151" s="78"/>
    </row>
    <row r="152" spans="1:17" s="18" customFormat="1" hidden="1" x14ac:dyDescent="0.35">
      <c r="A152" s="128" t="s">
        <v>111</v>
      </c>
      <c r="B152" s="265" t="b">
        <v>0</v>
      </c>
      <c r="C152" s="238"/>
      <c r="D152" s="239">
        <f t="shared" si="6"/>
        <v>0</v>
      </c>
      <c r="E152" s="80"/>
      <c r="F152" s="80"/>
      <c r="G152" s="80"/>
      <c r="H152" s="79"/>
      <c r="J152" s="78"/>
      <c r="K152" s="78"/>
      <c r="L152" s="78"/>
      <c r="M152" s="78"/>
      <c r="N152" s="78"/>
      <c r="O152" s="78"/>
      <c r="P152" s="78"/>
      <c r="Q152" s="78"/>
    </row>
    <row r="153" spans="1:17" s="18" customFormat="1" ht="17.149999999999999" hidden="1" customHeight="1" x14ac:dyDescent="0.35">
      <c r="A153" s="128" t="s">
        <v>453</v>
      </c>
      <c r="B153" s="265" t="b">
        <v>0</v>
      </c>
      <c r="C153" s="239"/>
      <c r="D153" s="239">
        <f t="shared" si="6"/>
        <v>0</v>
      </c>
      <c r="E153" s="120"/>
      <c r="F153" s="120"/>
      <c r="G153" s="120"/>
      <c r="H153" s="120"/>
      <c r="J153" s="78"/>
      <c r="K153" s="78"/>
      <c r="L153" s="78"/>
      <c r="M153" s="78"/>
      <c r="N153" s="78"/>
      <c r="O153" s="78"/>
      <c r="P153" s="78"/>
      <c r="Q153" s="78"/>
    </row>
    <row r="154" spans="1:17" s="18" customFormat="1" ht="16" hidden="1" thickBot="1" x14ac:dyDescent="0.4">
      <c r="A154" s="129" t="s">
        <v>124</v>
      </c>
      <c r="B154" s="281" t="b">
        <v>0</v>
      </c>
      <c r="C154" s="238"/>
      <c r="D154" s="239">
        <f t="shared" si="6"/>
        <v>0</v>
      </c>
      <c r="E154" s="80"/>
      <c r="F154" s="80"/>
      <c r="G154" s="80"/>
      <c r="H154" s="79"/>
      <c r="J154" s="78"/>
      <c r="K154" s="78"/>
      <c r="L154" s="78"/>
      <c r="M154" s="78"/>
      <c r="N154" s="78"/>
      <c r="O154" s="78"/>
      <c r="P154" s="78"/>
      <c r="Q154" s="78"/>
    </row>
    <row r="155" spans="1:17" s="18" customFormat="1" ht="16.5" hidden="1" thickTop="1" thickBot="1" x14ac:dyDescent="0.4">
      <c r="A155" s="124"/>
      <c r="B155" s="1"/>
      <c r="C155" s="238"/>
      <c r="D155" s="238"/>
      <c r="E155" s="80"/>
      <c r="F155" s="80"/>
      <c r="G155" s="80"/>
      <c r="H155" s="79"/>
      <c r="J155" s="78"/>
      <c r="K155" s="78"/>
      <c r="L155" s="78"/>
      <c r="M155" s="78"/>
      <c r="N155" s="78"/>
      <c r="O155" s="78"/>
      <c r="P155" s="78"/>
      <c r="Q155" s="78"/>
    </row>
    <row r="156" spans="1:17" s="18" customFormat="1" ht="16" hidden="1" thickBot="1" x14ac:dyDescent="0.4">
      <c r="A156" s="134" t="s">
        <v>27</v>
      </c>
      <c r="B156" s="135">
        <f>IFERROR(D156/C156,0)</f>
        <v>0</v>
      </c>
      <c r="C156" s="238"/>
      <c r="D156" s="238">
        <f>SUM(D148:D154)</f>
        <v>0</v>
      </c>
      <c r="E156" s="80"/>
      <c r="F156" s="80"/>
      <c r="G156" s="80"/>
      <c r="H156" s="79"/>
      <c r="J156" s="78"/>
      <c r="K156" s="78"/>
      <c r="L156" s="78"/>
      <c r="M156" s="78"/>
      <c r="N156" s="78"/>
      <c r="O156" s="78"/>
      <c r="P156" s="78"/>
      <c r="Q156" s="78"/>
    </row>
    <row r="157" spans="1:17" s="18" customFormat="1" hidden="1" x14ac:dyDescent="0.35">
      <c r="A157" s="80"/>
      <c r="B157" s="80"/>
      <c r="C157" s="238"/>
      <c r="D157" s="238"/>
      <c r="E157" s="80"/>
      <c r="F157" s="80"/>
      <c r="G157" s="80"/>
      <c r="H157" s="79"/>
      <c r="J157" s="78"/>
      <c r="K157" s="78"/>
      <c r="L157" s="78"/>
      <c r="M157" s="78"/>
      <c r="N157" s="78"/>
      <c r="O157" s="78"/>
      <c r="P157" s="78"/>
      <c r="Q157" s="78"/>
    </row>
    <row r="158" spans="1:17" s="18" customFormat="1" ht="16" hidden="1" thickBot="1" x14ac:dyDescent="0.4">
      <c r="A158" s="80"/>
      <c r="B158" s="80"/>
      <c r="C158" s="238"/>
      <c r="D158" s="238"/>
      <c r="E158" s="80"/>
      <c r="F158" s="80"/>
      <c r="G158" s="80"/>
      <c r="H158" s="79"/>
      <c r="J158" s="78"/>
      <c r="K158" s="78"/>
      <c r="L158" s="78"/>
      <c r="M158" s="78"/>
      <c r="N158" s="78"/>
      <c r="O158" s="78"/>
      <c r="P158" s="78"/>
      <c r="Q158" s="78"/>
    </row>
    <row r="159" spans="1:17" s="18" customFormat="1" ht="16.5" hidden="1" thickTop="1" thickBot="1" x14ac:dyDescent="0.4">
      <c r="A159" s="213"/>
      <c r="B159" s="125" t="s">
        <v>227</v>
      </c>
      <c r="C159" s="126"/>
      <c r="D159" s="132" t="s">
        <v>25</v>
      </c>
      <c r="E159" s="80"/>
      <c r="F159" s="80"/>
      <c r="G159" s="80"/>
      <c r="H159" s="79"/>
      <c r="J159" s="78"/>
      <c r="K159" s="78"/>
      <c r="L159" s="78"/>
      <c r="M159" s="78"/>
      <c r="N159" s="78"/>
      <c r="O159" s="78"/>
      <c r="P159" s="78"/>
      <c r="Q159" s="78"/>
    </row>
    <row r="160" spans="1:17" s="18" customFormat="1" ht="16" hidden="1" thickTop="1" x14ac:dyDescent="0.35">
      <c r="A160" s="133" t="s">
        <v>87</v>
      </c>
      <c r="B160" s="285"/>
      <c r="C160" s="238"/>
      <c r="D160" s="238"/>
      <c r="E160" s="80"/>
      <c r="F160" s="80"/>
      <c r="G160" s="80"/>
      <c r="H160" s="79"/>
      <c r="J160" s="78"/>
      <c r="K160" s="78"/>
      <c r="L160" s="78"/>
      <c r="M160" s="78"/>
      <c r="N160" s="78"/>
      <c r="O160" s="78"/>
      <c r="P160" s="78"/>
      <c r="Q160" s="78"/>
    </row>
    <row r="161" spans="1:17" s="18" customFormat="1" hidden="1" x14ac:dyDescent="0.35">
      <c r="A161" s="128" t="s">
        <v>449</v>
      </c>
      <c r="B161" s="265" t="b">
        <v>0</v>
      </c>
      <c r="C161" s="238"/>
      <c r="D161" s="239">
        <f t="shared" ref="D161:D167" si="7">IF(B161,C161,0)</f>
        <v>0</v>
      </c>
      <c r="E161" s="80"/>
      <c r="F161" s="80"/>
      <c r="G161" s="80"/>
      <c r="H161" s="79"/>
      <c r="J161" s="78"/>
      <c r="K161" s="78"/>
      <c r="L161" s="78"/>
      <c r="M161" s="78"/>
      <c r="N161" s="78"/>
      <c r="O161" s="78"/>
      <c r="P161" s="78"/>
      <c r="Q161" s="78"/>
    </row>
    <row r="162" spans="1:17" s="18" customFormat="1" hidden="1" x14ac:dyDescent="0.35">
      <c r="A162" s="127" t="s">
        <v>454</v>
      </c>
      <c r="B162" s="265" t="b">
        <v>0</v>
      </c>
      <c r="C162" s="238"/>
      <c r="D162" s="239">
        <f t="shared" si="7"/>
        <v>0</v>
      </c>
      <c r="E162" s="80"/>
      <c r="F162" s="80"/>
      <c r="G162" s="80"/>
      <c r="H162" s="79"/>
      <c r="J162" s="78"/>
      <c r="K162" s="78"/>
      <c r="L162" s="78"/>
      <c r="M162" s="78"/>
      <c r="N162" s="78"/>
      <c r="O162" s="78"/>
      <c r="P162" s="78"/>
      <c r="Q162" s="78"/>
    </row>
    <row r="163" spans="1:17" s="18" customFormat="1" hidden="1" x14ac:dyDescent="0.35">
      <c r="A163" s="127" t="s">
        <v>451</v>
      </c>
      <c r="B163" s="265" t="b">
        <v>0</v>
      </c>
      <c r="C163" s="238"/>
      <c r="D163" s="239">
        <f t="shared" si="7"/>
        <v>0</v>
      </c>
      <c r="E163" s="80"/>
      <c r="F163" s="80"/>
      <c r="G163" s="80"/>
      <c r="H163" s="79"/>
      <c r="J163" s="78"/>
      <c r="K163" s="78"/>
      <c r="L163" s="78"/>
      <c r="M163" s="78"/>
      <c r="N163" s="78"/>
      <c r="O163" s="78"/>
      <c r="P163" s="78"/>
      <c r="Q163" s="78"/>
    </row>
    <row r="164" spans="1:17" s="18" customFormat="1" hidden="1" x14ac:dyDescent="0.35">
      <c r="A164" s="128" t="s">
        <v>452</v>
      </c>
      <c r="B164" s="265" t="b">
        <v>0</v>
      </c>
      <c r="C164" s="238"/>
      <c r="D164" s="239">
        <f t="shared" si="7"/>
        <v>0</v>
      </c>
      <c r="E164" s="80"/>
      <c r="F164" s="80"/>
      <c r="G164" s="80"/>
      <c r="H164" s="79"/>
      <c r="J164" s="78"/>
      <c r="K164" s="78"/>
      <c r="L164" s="78"/>
      <c r="M164" s="78"/>
      <c r="N164" s="78"/>
      <c r="O164" s="78"/>
      <c r="P164" s="78"/>
      <c r="Q164" s="78"/>
    </row>
    <row r="165" spans="1:17" s="18" customFormat="1" hidden="1" x14ac:dyDescent="0.35">
      <c r="A165" s="128" t="s">
        <v>111</v>
      </c>
      <c r="B165" s="265" t="b">
        <v>0</v>
      </c>
      <c r="C165" s="238"/>
      <c r="D165" s="239">
        <f t="shared" si="7"/>
        <v>0</v>
      </c>
      <c r="E165" s="80"/>
      <c r="F165" s="80"/>
      <c r="G165" s="80"/>
      <c r="H165" s="79"/>
      <c r="J165" s="78"/>
      <c r="K165" s="78"/>
      <c r="L165" s="78"/>
      <c r="M165" s="78"/>
      <c r="N165" s="78"/>
      <c r="O165" s="78"/>
      <c r="P165" s="78"/>
      <c r="Q165" s="78"/>
    </row>
    <row r="166" spans="1:17" s="18" customFormat="1" hidden="1" x14ac:dyDescent="0.35">
      <c r="A166" s="128" t="s">
        <v>453</v>
      </c>
      <c r="B166" s="265" t="b">
        <v>0</v>
      </c>
      <c r="C166" s="238"/>
      <c r="D166" s="239">
        <f t="shared" si="7"/>
        <v>0</v>
      </c>
      <c r="E166" s="80"/>
      <c r="F166" s="80"/>
      <c r="G166" s="80"/>
      <c r="H166" s="79"/>
      <c r="J166" s="78"/>
      <c r="K166" s="78"/>
      <c r="L166" s="78"/>
      <c r="M166" s="78"/>
      <c r="N166" s="78"/>
      <c r="O166" s="78"/>
      <c r="P166" s="78"/>
      <c r="Q166" s="78"/>
    </row>
    <row r="167" spans="1:17" s="18" customFormat="1" ht="16" hidden="1" thickBot="1" x14ac:dyDescent="0.4">
      <c r="A167" s="129" t="s">
        <v>124</v>
      </c>
      <c r="B167" s="281" t="b">
        <v>0</v>
      </c>
      <c r="C167" s="238"/>
      <c r="D167" s="239">
        <f t="shared" si="7"/>
        <v>0</v>
      </c>
      <c r="E167" s="80"/>
      <c r="F167" s="80"/>
      <c r="G167" s="80"/>
      <c r="H167" s="79"/>
      <c r="J167" s="78"/>
      <c r="K167" s="78"/>
      <c r="L167" s="78"/>
      <c r="M167" s="78"/>
      <c r="N167" s="78"/>
      <c r="O167" s="78"/>
      <c r="P167" s="78"/>
      <c r="Q167" s="78"/>
    </row>
    <row r="168" spans="1:17" s="18" customFormat="1" ht="16.5" hidden="1" thickTop="1" thickBot="1" x14ac:dyDescent="0.4">
      <c r="A168" s="124"/>
      <c r="B168" s="1"/>
      <c r="C168" s="238"/>
      <c r="D168" s="238"/>
      <c r="E168" s="80"/>
      <c r="F168" s="80"/>
      <c r="G168" s="80"/>
      <c r="H168" s="79"/>
      <c r="J168" s="78"/>
      <c r="K168" s="78"/>
      <c r="L168" s="78"/>
      <c r="M168" s="78"/>
      <c r="N168" s="78"/>
      <c r="O168" s="78"/>
      <c r="P168" s="78"/>
      <c r="Q168" s="78"/>
    </row>
    <row r="169" spans="1:17" s="18" customFormat="1" ht="16" hidden="1" thickBot="1" x14ac:dyDescent="0.4">
      <c r="A169" s="134" t="s">
        <v>27</v>
      </c>
      <c r="B169" s="135">
        <f>IFERROR(D169/C169,0)</f>
        <v>0</v>
      </c>
      <c r="C169" s="238"/>
      <c r="D169" s="238">
        <f>SUM(D161:D167)</f>
        <v>0</v>
      </c>
      <c r="E169" s="80"/>
      <c r="F169" s="80"/>
      <c r="G169" s="80"/>
      <c r="H169" s="79"/>
      <c r="J169" s="78"/>
      <c r="K169" s="78"/>
      <c r="L169" s="78"/>
      <c r="M169" s="78"/>
      <c r="N169" s="78"/>
      <c r="O169" s="78"/>
      <c r="P169" s="78"/>
      <c r="Q169" s="78"/>
    </row>
    <row r="170" spans="1:17" s="18" customFormat="1" hidden="1" x14ac:dyDescent="0.35">
      <c r="A170" s="80"/>
      <c r="B170" s="80"/>
      <c r="C170" s="238"/>
      <c r="D170" s="238"/>
      <c r="E170" s="80"/>
      <c r="F170" s="80"/>
      <c r="G170" s="80"/>
      <c r="H170" s="79"/>
      <c r="J170" s="78"/>
      <c r="K170" s="78"/>
      <c r="L170" s="78"/>
      <c r="M170" s="78"/>
      <c r="N170" s="78"/>
      <c r="O170" s="78"/>
      <c r="P170" s="78"/>
      <c r="Q170" s="78"/>
    </row>
    <row r="171" spans="1:17" s="18" customFormat="1" ht="16" hidden="1" thickBot="1" x14ac:dyDescent="0.4">
      <c r="A171" s="80"/>
      <c r="B171" s="80"/>
      <c r="C171" s="238"/>
      <c r="D171" s="238"/>
      <c r="E171" s="80"/>
      <c r="F171" s="80"/>
      <c r="G171" s="80"/>
      <c r="H171" s="79"/>
      <c r="J171" s="78"/>
      <c r="K171" s="78"/>
      <c r="L171" s="78"/>
      <c r="M171" s="78"/>
      <c r="N171" s="78"/>
      <c r="O171" s="78"/>
      <c r="P171" s="78"/>
      <c r="Q171" s="78"/>
    </row>
    <row r="172" spans="1:17" s="18" customFormat="1" ht="16.5" hidden="1" thickTop="1" thickBot="1" x14ac:dyDescent="0.4">
      <c r="A172" s="213"/>
      <c r="B172" s="125" t="s">
        <v>227</v>
      </c>
      <c r="C172" s="126"/>
      <c r="D172" s="132" t="s">
        <v>25</v>
      </c>
      <c r="E172" s="80"/>
      <c r="F172" s="80"/>
      <c r="G172" s="80"/>
      <c r="H172" s="79"/>
      <c r="J172" s="78"/>
      <c r="K172" s="78"/>
      <c r="L172" s="78"/>
      <c r="M172" s="78"/>
      <c r="N172" s="78"/>
      <c r="O172" s="78"/>
      <c r="P172" s="78"/>
      <c r="Q172" s="78"/>
    </row>
    <row r="173" spans="1:17" s="18" customFormat="1" ht="16" hidden="1" thickTop="1" x14ac:dyDescent="0.35">
      <c r="A173" s="133" t="s">
        <v>88</v>
      </c>
      <c r="B173" s="384"/>
      <c r="C173" s="238"/>
      <c r="D173" s="238"/>
      <c r="E173" s="80"/>
      <c r="F173" s="80"/>
      <c r="G173" s="80"/>
      <c r="H173" s="79"/>
      <c r="J173" s="78"/>
      <c r="K173" s="78"/>
      <c r="L173" s="78"/>
      <c r="M173" s="78"/>
      <c r="N173" s="78"/>
      <c r="O173" s="78"/>
      <c r="P173" s="78"/>
      <c r="Q173" s="78"/>
    </row>
    <row r="174" spans="1:17" s="18" customFormat="1" hidden="1" x14ac:dyDescent="0.35">
      <c r="A174" s="128" t="s">
        <v>449</v>
      </c>
      <c r="B174" s="265" t="b">
        <v>0</v>
      </c>
      <c r="C174" s="238"/>
      <c r="D174" s="239">
        <f t="shared" ref="D174:D180" si="8">IF(B174,C174,0)</f>
        <v>0</v>
      </c>
      <c r="E174" s="80"/>
      <c r="F174" s="80"/>
      <c r="G174" s="80"/>
      <c r="H174" s="79"/>
      <c r="J174" s="78"/>
      <c r="K174" s="78"/>
      <c r="L174" s="78"/>
      <c r="M174" s="78"/>
      <c r="N174" s="78"/>
      <c r="O174" s="78"/>
      <c r="P174" s="78"/>
      <c r="Q174" s="78"/>
    </row>
    <row r="175" spans="1:17" s="18" customFormat="1" hidden="1" x14ac:dyDescent="0.35">
      <c r="A175" s="127" t="s">
        <v>454</v>
      </c>
      <c r="B175" s="265" t="b">
        <v>0</v>
      </c>
      <c r="C175" s="238"/>
      <c r="D175" s="239">
        <f t="shared" si="8"/>
        <v>0</v>
      </c>
      <c r="E175" s="80"/>
      <c r="F175" s="80"/>
      <c r="G175" s="80"/>
      <c r="H175" s="79"/>
      <c r="J175" s="78"/>
      <c r="K175" s="78"/>
      <c r="L175" s="78"/>
      <c r="M175" s="78"/>
      <c r="N175" s="78"/>
      <c r="O175" s="78"/>
      <c r="P175" s="78"/>
      <c r="Q175" s="78"/>
    </row>
    <row r="176" spans="1:17" s="18" customFormat="1" hidden="1" x14ac:dyDescent="0.35">
      <c r="A176" s="127" t="s">
        <v>451</v>
      </c>
      <c r="B176" s="265" t="b">
        <v>0</v>
      </c>
      <c r="C176" s="238"/>
      <c r="D176" s="239">
        <f t="shared" si="8"/>
        <v>0</v>
      </c>
      <c r="E176" s="80"/>
      <c r="F176" s="80"/>
      <c r="G176" s="80"/>
      <c r="H176" s="79"/>
      <c r="J176" s="78"/>
      <c r="K176" s="78"/>
      <c r="L176" s="78"/>
      <c r="M176" s="78"/>
      <c r="N176" s="78"/>
      <c r="O176" s="78"/>
      <c r="P176" s="78"/>
      <c r="Q176" s="78"/>
    </row>
    <row r="177" spans="1:17" s="18" customFormat="1" hidden="1" x14ac:dyDescent="0.35">
      <c r="A177" s="128" t="s">
        <v>452</v>
      </c>
      <c r="B177" s="265" t="b">
        <v>0</v>
      </c>
      <c r="C177" s="238"/>
      <c r="D177" s="239">
        <f t="shared" si="8"/>
        <v>0</v>
      </c>
      <c r="E177" s="80"/>
      <c r="F177" s="80"/>
      <c r="G177" s="80"/>
      <c r="H177" s="79"/>
      <c r="J177" s="78"/>
      <c r="K177" s="78"/>
      <c r="L177" s="78"/>
      <c r="M177" s="78"/>
      <c r="N177" s="78"/>
      <c r="O177" s="78"/>
      <c r="P177" s="78"/>
      <c r="Q177" s="78"/>
    </row>
    <row r="178" spans="1:17" s="18" customFormat="1" hidden="1" x14ac:dyDescent="0.35">
      <c r="A178" s="128" t="s">
        <v>111</v>
      </c>
      <c r="B178" s="265" t="b">
        <v>0</v>
      </c>
      <c r="C178" s="238"/>
      <c r="D178" s="239">
        <f t="shared" si="8"/>
        <v>0</v>
      </c>
      <c r="E178" s="80"/>
      <c r="F178" s="80"/>
      <c r="G178" s="80"/>
      <c r="H178" s="79"/>
      <c r="J178" s="78"/>
      <c r="K178" s="78"/>
      <c r="L178" s="78"/>
      <c r="M178" s="78"/>
      <c r="N178" s="78"/>
      <c r="O178" s="78"/>
      <c r="P178" s="78"/>
      <c r="Q178" s="78"/>
    </row>
    <row r="179" spans="1:17" s="18" customFormat="1" hidden="1" x14ac:dyDescent="0.35">
      <c r="A179" s="128" t="s">
        <v>453</v>
      </c>
      <c r="B179" s="265" t="b">
        <v>0</v>
      </c>
      <c r="C179" s="238"/>
      <c r="D179" s="239">
        <f t="shared" si="8"/>
        <v>0</v>
      </c>
      <c r="E179" s="80"/>
      <c r="F179" s="80"/>
      <c r="G179" s="80"/>
      <c r="H179" s="79"/>
      <c r="J179" s="78"/>
      <c r="K179" s="78"/>
      <c r="L179" s="78"/>
      <c r="M179" s="78"/>
      <c r="N179" s="78"/>
      <c r="O179" s="78"/>
      <c r="P179" s="78"/>
      <c r="Q179" s="78"/>
    </row>
    <row r="180" spans="1:17" s="18" customFormat="1" ht="16" hidden="1" thickBot="1" x14ac:dyDescent="0.4">
      <c r="A180" s="129" t="s">
        <v>124</v>
      </c>
      <c r="B180" s="281" t="b">
        <v>0</v>
      </c>
      <c r="C180" s="238"/>
      <c r="D180" s="239">
        <f t="shared" si="8"/>
        <v>0</v>
      </c>
      <c r="E180" s="80"/>
      <c r="F180" s="80"/>
      <c r="G180" s="80"/>
      <c r="H180" s="79"/>
      <c r="J180" s="78"/>
      <c r="K180" s="78"/>
      <c r="L180" s="78"/>
      <c r="M180" s="78"/>
      <c r="N180" s="78"/>
      <c r="O180" s="78"/>
      <c r="P180" s="78"/>
      <c r="Q180" s="78"/>
    </row>
    <row r="181" spans="1:17" s="18" customFormat="1" ht="16.5" hidden="1" thickTop="1" thickBot="1" x14ac:dyDescent="0.4">
      <c r="A181" s="124"/>
      <c r="B181" s="1"/>
      <c r="C181" s="238"/>
      <c r="D181" s="238"/>
      <c r="E181" s="80"/>
      <c r="F181" s="80"/>
      <c r="G181" s="80"/>
      <c r="H181" s="79"/>
      <c r="J181" s="78"/>
      <c r="K181" s="78"/>
      <c r="L181" s="78"/>
      <c r="M181" s="78"/>
      <c r="N181" s="78"/>
      <c r="O181" s="78"/>
      <c r="P181" s="78"/>
      <c r="Q181" s="78"/>
    </row>
    <row r="182" spans="1:17" s="18" customFormat="1" ht="16" hidden="1" thickBot="1" x14ac:dyDescent="0.4">
      <c r="A182" s="134" t="s">
        <v>27</v>
      </c>
      <c r="B182" s="135">
        <f>IFERROR(D182/C182,0)</f>
        <v>0</v>
      </c>
      <c r="C182" s="238"/>
      <c r="D182" s="238">
        <f>SUM(D174:D180)</f>
        <v>0</v>
      </c>
      <c r="E182" s="80"/>
      <c r="F182" s="80"/>
      <c r="G182" s="80"/>
      <c r="H182" s="79"/>
      <c r="J182" s="78"/>
      <c r="K182" s="78"/>
      <c r="L182" s="78"/>
      <c r="M182" s="78"/>
      <c r="N182" s="78"/>
      <c r="O182" s="78"/>
      <c r="P182" s="78"/>
      <c r="Q182" s="78"/>
    </row>
    <row r="183" spans="1:17" s="18" customFormat="1" hidden="1" x14ac:dyDescent="0.35">
      <c r="A183" s="80"/>
      <c r="B183" s="80"/>
      <c r="C183" s="238"/>
      <c r="D183" s="238"/>
      <c r="E183" s="80"/>
      <c r="F183" s="80"/>
      <c r="G183" s="80"/>
      <c r="H183" s="79"/>
      <c r="J183" s="78"/>
      <c r="K183" s="78"/>
      <c r="L183" s="78"/>
      <c r="M183" s="78"/>
      <c r="N183" s="78"/>
      <c r="O183" s="78"/>
      <c r="P183" s="78"/>
      <c r="Q183" s="78"/>
    </row>
    <row r="184" spans="1:17" s="18" customFormat="1" ht="16" hidden="1" thickBot="1" x14ac:dyDescent="0.4">
      <c r="A184" s="80"/>
      <c r="B184" s="80"/>
      <c r="C184" s="238"/>
      <c r="D184" s="238"/>
      <c r="E184" s="80"/>
      <c r="F184" s="80"/>
      <c r="G184" s="80"/>
      <c r="H184" s="79"/>
      <c r="J184" s="78"/>
      <c r="K184" s="78"/>
      <c r="L184" s="78"/>
      <c r="M184" s="78"/>
      <c r="N184" s="78"/>
      <c r="O184" s="78"/>
      <c r="P184" s="78"/>
      <c r="Q184" s="78"/>
    </row>
    <row r="185" spans="1:17" s="18" customFormat="1" ht="16.5" hidden="1" thickTop="1" thickBot="1" x14ac:dyDescent="0.4">
      <c r="A185" s="213"/>
      <c r="B185" s="125" t="s">
        <v>227</v>
      </c>
      <c r="C185" s="126"/>
      <c r="D185" s="132" t="s">
        <v>25</v>
      </c>
      <c r="E185" s="80"/>
      <c r="F185" s="80"/>
      <c r="G185" s="80"/>
      <c r="H185" s="79"/>
      <c r="J185" s="78"/>
      <c r="K185" s="78"/>
      <c r="L185" s="78"/>
      <c r="M185" s="78"/>
      <c r="N185" s="78"/>
      <c r="O185" s="78"/>
      <c r="P185" s="78"/>
      <c r="Q185" s="78"/>
    </row>
    <row r="186" spans="1:17" s="18" customFormat="1" ht="16" hidden="1" thickTop="1" x14ac:dyDescent="0.35">
      <c r="A186" s="133" t="s">
        <v>426</v>
      </c>
      <c r="B186" s="384"/>
      <c r="C186" s="238"/>
      <c r="D186" s="238"/>
      <c r="E186" s="80"/>
      <c r="F186" s="80"/>
      <c r="G186" s="80"/>
      <c r="H186" s="79"/>
      <c r="J186" s="78"/>
      <c r="K186" s="78"/>
      <c r="L186" s="78"/>
      <c r="M186" s="78"/>
      <c r="N186" s="78"/>
      <c r="O186" s="78"/>
      <c r="P186" s="78"/>
      <c r="Q186" s="78"/>
    </row>
    <row r="187" spans="1:17" s="18" customFormat="1" hidden="1" x14ac:dyDescent="0.35">
      <c r="A187" s="128" t="s">
        <v>449</v>
      </c>
      <c r="B187" s="265" t="b">
        <v>0</v>
      </c>
      <c r="C187" s="238"/>
      <c r="D187" s="239">
        <f t="shared" ref="D187:D193" si="9">IF(B187,C187,0)</f>
        <v>0</v>
      </c>
      <c r="E187" s="80"/>
      <c r="F187" s="80"/>
      <c r="G187" s="80"/>
      <c r="H187" s="79"/>
      <c r="J187" s="78"/>
      <c r="K187" s="78"/>
      <c r="L187" s="78"/>
      <c r="M187" s="78"/>
      <c r="N187" s="78"/>
      <c r="O187" s="78"/>
      <c r="P187" s="78"/>
      <c r="Q187" s="78"/>
    </row>
    <row r="188" spans="1:17" s="18" customFormat="1" hidden="1" x14ac:dyDescent="0.35">
      <c r="A188" s="127" t="s">
        <v>454</v>
      </c>
      <c r="B188" s="265" t="b">
        <v>0</v>
      </c>
      <c r="C188" s="238"/>
      <c r="D188" s="239">
        <f t="shared" si="9"/>
        <v>0</v>
      </c>
      <c r="E188" s="80"/>
      <c r="F188" s="80"/>
      <c r="G188" s="80"/>
      <c r="H188" s="79"/>
      <c r="J188" s="78"/>
      <c r="K188" s="78"/>
      <c r="L188" s="78"/>
      <c r="M188" s="78"/>
      <c r="N188" s="78"/>
      <c r="O188" s="78"/>
      <c r="P188" s="78"/>
      <c r="Q188" s="78"/>
    </row>
    <row r="189" spans="1:17" s="18" customFormat="1" hidden="1" x14ac:dyDescent="0.35">
      <c r="A189" s="127" t="s">
        <v>451</v>
      </c>
      <c r="B189" s="265" t="b">
        <v>0</v>
      </c>
      <c r="C189" s="238"/>
      <c r="D189" s="239">
        <f t="shared" si="9"/>
        <v>0</v>
      </c>
      <c r="E189" s="80"/>
      <c r="F189" s="80"/>
      <c r="G189" s="80"/>
      <c r="H189" s="79"/>
      <c r="J189" s="78"/>
      <c r="K189" s="78"/>
      <c r="L189" s="78"/>
      <c r="M189" s="78"/>
      <c r="N189" s="78"/>
      <c r="O189" s="78"/>
      <c r="P189" s="78"/>
      <c r="Q189" s="78"/>
    </row>
    <row r="190" spans="1:17" s="18" customFormat="1" hidden="1" x14ac:dyDescent="0.35">
      <c r="A190" s="128" t="s">
        <v>452</v>
      </c>
      <c r="B190" s="265" t="b">
        <v>0</v>
      </c>
      <c r="C190" s="238"/>
      <c r="D190" s="239">
        <f t="shared" si="9"/>
        <v>0</v>
      </c>
      <c r="E190" s="80"/>
      <c r="F190" s="80"/>
      <c r="G190" s="80"/>
      <c r="H190" s="79"/>
      <c r="J190" s="78"/>
      <c r="K190" s="78"/>
      <c r="L190" s="78"/>
      <c r="M190" s="78"/>
      <c r="N190" s="78"/>
      <c r="O190" s="78"/>
      <c r="P190" s="78"/>
      <c r="Q190" s="78"/>
    </row>
    <row r="191" spans="1:17" s="18" customFormat="1" hidden="1" x14ac:dyDescent="0.35">
      <c r="A191" s="128" t="s">
        <v>111</v>
      </c>
      <c r="B191" s="265" t="b">
        <v>0</v>
      </c>
      <c r="C191" s="238"/>
      <c r="D191" s="239">
        <f t="shared" si="9"/>
        <v>0</v>
      </c>
      <c r="E191" s="80"/>
      <c r="F191" s="80"/>
      <c r="G191" s="80"/>
      <c r="H191" s="79"/>
      <c r="J191" s="78"/>
      <c r="K191" s="78"/>
      <c r="L191" s="78"/>
      <c r="M191" s="78"/>
      <c r="N191" s="78"/>
      <c r="O191" s="78"/>
      <c r="P191" s="78"/>
      <c r="Q191" s="78"/>
    </row>
    <row r="192" spans="1:17" s="18" customFormat="1" hidden="1" x14ac:dyDescent="0.35">
      <c r="A192" s="128" t="s">
        <v>453</v>
      </c>
      <c r="B192" s="265" t="b">
        <v>0</v>
      </c>
      <c r="C192" s="238"/>
      <c r="D192" s="239">
        <f t="shared" si="9"/>
        <v>0</v>
      </c>
      <c r="E192" s="80"/>
      <c r="F192" s="80"/>
      <c r="G192" s="80"/>
      <c r="H192" s="79"/>
      <c r="J192" s="78"/>
      <c r="K192" s="78"/>
      <c r="L192" s="78"/>
      <c r="M192" s="78"/>
      <c r="N192" s="78"/>
      <c r="O192" s="78"/>
      <c r="P192" s="78"/>
      <c r="Q192" s="78"/>
    </row>
    <row r="193" spans="1:17" s="18" customFormat="1" ht="16" hidden="1" thickBot="1" x14ac:dyDescent="0.4">
      <c r="A193" s="129" t="s">
        <v>124</v>
      </c>
      <c r="B193" s="281" t="b">
        <v>0</v>
      </c>
      <c r="C193" s="238"/>
      <c r="D193" s="239">
        <f t="shared" si="9"/>
        <v>0</v>
      </c>
      <c r="E193" s="80"/>
      <c r="F193" s="80"/>
      <c r="G193" s="80"/>
      <c r="H193" s="79"/>
      <c r="J193" s="78"/>
      <c r="K193" s="78"/>
      <c r="L193" s="78"/>
      <c r="M193" s="78"/>
      <c r="N193" s="78"/>
      <c r="O193" s="78"/>
      <c r="P193" s="78"/>
      <c r="Q193" s="78"/>
    </row>
    <row r="194" spans="1:17" s="18" customFormat="1" ht="16.5" hidden="1" thickTop="1" thickBot="1" x14ac:dyDescent="0.4">
      <c r="A194" s="80"/>
      <c r="B194" s="80"/>
      <c r="C194" s="238"/>
      <c r="D194" s="238"/>
      <c r="E194" s="80"/>
      <c r="F194" s="80"/>
      <c r="G194" s="80"/>
      <c r="H194" s="79"/>
      <c r="J194" s="78"/>
      <c r="K194" s="78"/>
      <c r="L194" s="78"/>
      <c r="M194" s="78"/>
      <c r="N194" s="78"/>
      <c r="O194" s="78"/>
      <c r="P194" s="78"/>
      <c r="Q194" s="78"/>
    </row>
    <row r="195" spans="1:17" s="18" customFormat="1" ht="16" hidden="1" thickBot="1" x14ac:dyDescent="0.4">
      <c r="A195" s="134" t="s">
        <v>27</v>
      </c>
      <c r="B195" s="135">
        <f>IFERROR(D195/C195,0)</f>
        <v>0</v>
      </c>
      <c r="C195" s="238"/>
      <c r="D195" s="238">
        <f>SUM(D187:D193)</f>
        <v>0</v>
      </c>
      <c r="E195" s="80"/>
      <c r="F195" s="80"/>
      <c r="G195" s="80"/>
      <c r="H195" s="79"/>
      <c r="J195" s="78"/>
      <c r="K195" s="78"/>
      <c r="L195" s="78"/>
      <c r="M195" s="78"/>
      <c r="N195" s="78"/>
      <c r="O195" s="78"/>
      <c r="P195" s="78"/>
      <c r="Q195" s="78"/>
    </row>
    <row r="196" spans="1:17" s="18" customFormat="1" hidden="1" x14ac:dyDescent="0.35">
      <c r="A196" s="80"/>
      <c r="B196" s="80"/>
      <c r="C196" s="238"/>
      <c r="D196" s="238"/>
      <c r="E196" s="80"/>
      <c r="F196" s="80"/>
      <c r="G196" s="80"/>
      <c r="H196" s="79"/>
      <c r="J196" s="78"/>
      <c r="K196" s="78"/>
      <c r="L196" s="78"/>
      <c r="M196" s="78"/>
      <c r="N196" s="78"/>
      <c r="O196" s="78"/>
      <c r="P196" s="78"/>
      <c r="Q196" s="78"/>
    </row>
    <row r="197" spans="1:17" s="18" customFormat="1" hidden="1" x14ac:dyDescent="0.35">
      <c r="A197" s="80"/>
      <c r="B197" s="80"/>
      <c r="C197" s="238"/>
      <c r="D197" s="238"/>
      <c r="E197" s="80"/>
      <c r="F197" s="80"/>
      <c r="G197" s="80"/>
      <c r="H197" s="79"/>
      <c r="J197" s="78"/>
      <c r="K197" s="78"/>
      <c r="L197" s="78"/>
      <c r="M197" s="78"/>
      <c r="N197" s="78"/>
      <c r="O197" s="78"/>
      <c r="P197" s="78"/>
      <c r="Q197" s="78"/>
    </row>
    <row r="198" spans="1:17" s="18" customFormat="1" hidden="1" x14ac:dyDescent="0.35">
      <c r="A198" s="80"/>
      <c r="B198" s="80"/>
      <c r="C198" s="238"/>
      <c r="D198" s="238"/>
      <c r="E198" s="80"/>
      <c r="F198" s="80"/>
      <c r="G198" s="80"/>
      <c r="H198" s="79"/>
      <c r="J198" s="78"/>
      <c r="K198" s="78"/>
      <c r="L198" s="78"/>
      <c r="M198" s="78"/>
      <c r="N198" s="78"/>
      <c r="O198" s="78"/>
      <c r="P198" s="78"/>
      <c r="Q198" s="78"/>
    </row>
    <row r="199" spans="1:17" s="18" customFormat="1" x14ac:dyDescent="0.35">
      <c r="A199" s="339" t="s">
        <v>282</v>
      </c>
      <c r="B199" s="340">
        <f>IF(shiptypenum=1,B34,IF(shiptypenum=2,B62,IF(shiptypenum&lt;5,B87,IF(shiptypenum=5,B144,IF(shiptypenum&lt;8,B130,IF(shiptypenum=8,B110,IF(shiptypenum=9,B144,IF(shiptypenum=10,B156,IF(shiptypenum=11,B169,IF(shiptypenum=12,B182,IF(shiptypenum=13,B195,0)))))))))))</f>
        <v>0</v>
      </c>
      <c r="C199" s="238"/>
      <c r="D199" s="238"/>
      <c r="E199" s="80"/>
      <c r="F199" s="80"/>
      <c r="G199" s="80"/>
      <c r="H199" s="79"/>
      <c r="J199" s="78"/>
      <c r="K199" s="78"/>
      <c r="L199" s="78"/>
      <c r="M199" s="78"/>
      <c r="N199" s="78"/>
      <c r="O199" s="78"/>
      <c r="P199" s="78"/>
      <c r="Q199" s="78"/>
    </row>
    <row r="200" spans="1:17" s="18" customFormat="1" x14ac:dyDescent="0.35">
      <c r="A200" s="80"/>
      <c r="B200" s="80"/>
      <c r="C200" s="383"/>
      <c r="D200" s="238"/>
      <c r="E200" s="80"/>
      <c r="F200" s="80"/>
      <c r="G200" s="80"/>
      <c r="H200" s="79"/>
      <c r="J200" s="78"/>
      <c r="K200" s="78"/>
      <c r="L200" s="78"/>
      <c r="M200" s="78"/>
      <c r="N200" s="78"/>
      <c r="O200" s="78"/>
      <c r="P200" s="78"/>
      <c r="Q200" s="78"/>
    </row>
    <row r="201" spans="1:17" s="18" customFormat="1" x14ac:dyDescent="0.35">
      <c r="A201" s="80"/>
      <c r="B201" s="80"/>
      <c r="C201" s="238"/>
      <c r="D201" s="238"/>
      <c r="E201" s="80"/>
      <c r="F201" s="80"/>
      <c r="G201" s="80"/>
      <c r="H201" s="79"/>
      <c r="J201" s="78"/>
      <c r="K201" s="78"/>
      <c r="L201" s="78"/>
      <c r="M201" s="78"/>
      <c r="N201" s="78"/>
      <c r="O201" s="78"/>
      <c r="P201" s="78"/>
      <c r="Q201" s="78"/>
    </row>
    <row r="202" spans="1:17" s="18" customFormat="1" x14ac:dyDescent="0.35">
      <c r="A202" s="80"/>
      <c r="B202" s="80"/>
      <c r="C202" s="238"/>
      <c r="D202" s="238"/>
      <c r="E202" s="80"/>
      <c r="F202" s="80"/>
      <c r="G202" s="80"/>
      <c r="H202" s="79"/>
      <c r="J202" s="78"/>
      <c r="K202" s="78"/>
      <c r="L202" s="78"/>
      <c r="M202" s="78"/>
      <c r="N202" s="78"/>
      <c r="O202" s="78"/>
      <c r="P202" s="78"/>
      <c r="Q202" s="78"/>
    </row>
    <row r="203" spans="1:17" s="18" customFormat="1" x14ac:dyDescent="0.35">
      <c r="A203" s="80"/>
      <c r="B203" s="80"/>
      <c r="C203" s="238"/>
      <c r="D203" s="238"/>
      <c r="E203" s="80"/>
      <c r="F203" s="80"/>
      <c r="G203" s="80"/>
      <c r="H203" s="79"/>
      <c r="J203" s="78"/>
      <c r="K203" s="78"/>
      <c r="L203" s="78"/>
      <c r="M203" s="78"/>
      <c r="N203" s="78"/>
      <c r="O203" s="78"/>
      <c r="P203" s="78"/>
      <c r="Q203" s="78"/>
    </row>
    <row r="204" spans="1:17" s="18" customFormat="1" x14ac:dyDescent="0.35">
      <c r="A204" s="80"/>
      <c r="B204" s="80"/>
      <c r="C204" s="238"/>
      <c r="D204" s="238"/>
      <c r="E204" s="80"/>
      <c r="F204" s="80"/>
      <c r="G204" s="80"/>
      <c r="H204" s="79"/>
      <c r="J204" s="78"/>
      <c r="K204" s="78"/>
      <c r="L204" s="78"/>
      <c r="M204" s="78"/>
      <c r="N204" s="78"/>
      <c r="O204" s="78"/>
      <c r="P204" s="78"/>
      <c r="Q204" s="78"/>
    </row>
    <row r="205" spans="1:17" s="18" customFormat="1" x14ac:dyDescent="0.35">
      <c r="A205" s="80"/>
      <c r="B205" s="80"/>
      <c r="C205" s="238"/>
      <c r="D205" s="238"/>
      <c r="E205" s="80"/>
      <c r="F205" s="80"/>
      <c r="G205" s="80"/>
      <c r="H205" s="79"/>
      <c r="J205" s="78"/>
      <c r="K205" s="78"/>
      <c r="L205" s="78"/>
      <c r="M205" s="78"/>
      <c r="N205" s="78"/>
      <c r="O205" s="78"/>
      <c r="P205" s="78"/>
      <c r="Q205" s="78"/>
    </row>
    <row r="206" spans="1:17" s="18" customFormat="1" x14ac:dyDescent="0.35">
      <c r="A206" s="80"/>
      <c r="B206" s="80"/>
      <c r="C206" s="238"/>
      <c r="D206" s="238"/>
      <c r="E206" s="80"/>
      <c r="F206" s="80"/>
      <c r="G206" s="80"/>
      <c r="H206" s="79"/>
      <c r="J206" s="78"/>
      <c r="K206" s="78"/>
      <c r="L206" s="78"/>
      <c r="M206" s="78"/>
      <c r="N206" s="78"/>
      <c r="O206" s="78"/>
      <c r="P206" s="78"/>
      <c r="Q206" s="78"/>
    </row>
    <row r="207" spans="1:17" s="18" customFormat="1" x14ac:dyDescent="0.35">
      <c r="A207" s="80"/>
      <c r="B207" s="80"/>
      <c r="C207" s="238"/>
      <c r="D207" s="238"/>
      <c r="E207" s="80"/>
      <c r="F207" s="80"/>
      <c r="G207" s="80"/>
      <c r="H207" s="79"/>
      <c r="J207" s="78"/>
      <c r="K207" s="78"/>
      <c r="L207" s="78"/>
      <c r="M207" s="78"/>
      <c r="N207" s="78"/>
      <c r="O207" s="78"/>
      <c r="P207" s="78"/>
      <c r="Q207" s="78"/>
    </row>
    <row r="208" spans="1:17" s="18" customFormat="1" x14ac:dyDescent="0.35">
      <c r="A208" s="80"/>
      <c r="B208" s="80"/>
      <c r="C208" s="238"/>
      <c r="D208" s="238"/>
      <c r="E208" s="80"/>
      <c r="F208" s="80"/>
      <c r="G208" s="80"/>
      <c r="H208" s="79"/>
      <c r="J208" s="78"/>
      <c r="K208" s="78"/>
      <c r="L208" s="78"/>
      <c r="M208" s="78"/>
      <c r="N208" s="78"/>
      <c r="O208" s="78"/>
      <c r="P208" s="78"/>
      <c r="Q208" s="78"/>
    </row>
    <row r="209" spans="1:17" s="18" customFormat="1" x14ac:dyDescent="0.35">
      <c r="A209" s="80"/>
      <c r="B209" s="80"/>
      <c r="C209" s="238"/>
      <c r="D209" s="238"/>
      <c r="E209" s="80"/>
      <c r="F209" s="80"/>
      <c r="G209" s="80"/>
      <c r="H209" s="79"/>
      <c r="J209" s="78"/>
      <c r="K209" s="78"/>
      <c r="L209" s="78"/>
      <c r="M209" s="78"/>
      <c r="N209" s="78"/>
      <c r="O209" s="78"/>
      <c r="P209" s="78"/>
      <c r="Q209" s="78"/>
    </row>
    <row r="210" spans="1:17" s="18" customFormat="1" x14ac:dyDescent="0.35">
      <c r="A210" s="80"/>
      <c r="B210" s="80"/>
      <c r="C210" s="238"/>
      <c r="D210" s="238"/>
      <c r="E210" s="80"/>
      <c r="F210" s="80"/>
      <c r="G210" s="80"/>
      <c r="H210" s="79"/>
      <c r="J210" s="78"/>
      <c r="K210" s="78"/>
      <c r="L210" s="78"/>
      <c r="M210" s="78"/>
      <c r="N210" s="78"/>
      <c r="O210" s="78"/>
      <c r="P210" s="78"/>
      <c r="Q210" s="78"/>
    </row>
    <row r="211" spans="1:17" s="18" customFormat="1" x14ac:dyDescent="0.35">
      <c r="A211" s="80"/>
      <c r="B211" s="80"/>
      <c r="C211" s="238"/>
      <c r="D211" s="238"/>
      <c r="E211" s="80"/>
      <c r="F211" s="80"/>
      <c r="G211" s="80"/>
      <c r="H211" s="79"/>
      <c r="J211" s="78"/>
      <c r="K211" s="78"/>
      <c r="L211" s="78"/>
      <c r="M211" s="78"/>
      <c r="N211" s="78"/>
      <c r="O211" s="78"/>
      <c r="P211" s="78"/>
      <c r="Q211" s="78"/>
    </row>
    <row r="212" spans="1:17" s="18" customFormat="1" x14ac:dyDescent="0.35">
      <c r="A212" s="80"/>
      <c r="B212" s="80"/>
      <c r="C212" s="238"/>
      <c r="D212" s="238"/>
      <c r="E212" s="80"/>
      <c r="F212" s="80"/>
      <c r="G212" s="80"/>
      <c r="H212" s="79"/>
      <c r="J212" s="78"/>
      <c r="K212" s="78"/>
      <c r="L212" s="78"/>
      <c r="M212" s="78"/>
      <c r="N212" s="78"/>
      <c r="O212" s="78"/>
      <c r="P212" s="78"/>
      <c r="Q212" s="78"/>
    </row>
    <row r="213" spans="1:17" s="18" customFormat="1" x14ac:dyDescent="0.35">
      <c r="A213" s="80"/>
      <c r="B213" s="80"/>
      <c r="C213" s="238"/>
      <c r="D213" s="238"/>
      <c r="E213" s="80"/>
      <c r="F213" s="80"/>
      <c r="G213" s="80"/>
      <c r="H213" s="79"/>
      <c r="J213" s="78"/>
      <c r="K213" s="78"/>
      <c r="L213" s="78"/>
      <c r="M213" s="78"/>
      <c r="N213" s="78"/>
      <c r="O213" s="78"/>
      <c r="P213" s="78"/>
      <c r="Q213" s="78"/>
    </row>
    <row r="214" spans="1:17" s="18" customFormat="1" x14ac:dyDescent="0.35">
      <c r="A214" s="80"/>
      <c r="B214" s="80"/>
      <c r="C214" s="238"/>
      <c r="D214" s="238"/>
      <c r="E214" s="80"/>
      <c r="F214" s="80"/>
      <c r="G214" s="80"/>
      <c r="H214" s="79"/>
      <c r="J214" s="78"/>
      <c r="K214" s="78"/>
      <c r="L214" s="78"/>
      <c r="M214" s="78"/>
      <c r="N214" s="78"/>
      <c r="O214" s="78"/>
      <c r="P214" s="78"/>
      <c r="Q214" s="78"/>
    </row>
    <row r="215" spans="1:17" s="18" customFormat="1" x14ac:dyDescent="0.35">
      <c r="A215" s="80"/>
      <c r="B215" s="80"/>
      <c r="C215" s="238"/>
      <c r="D215" s="238"/>
      <c r="E215" s="80"/>
      <c r="F215" s="80"/>
      <c r="G215" s="80"/>
      <c r="H215" s="79"/>
      <c r="J215" s="78"/>
      <c r="K215" s="78"/>
      <c r="L215" s="78"/>
      <c r="M215" s="78"/>
      <c r="N215" s="78"/>
      <c r="O215" s="78"/>
      <c r="P215" s="78"/>
      <c r="Q215" s="78"/>
    </row>
    <row r="216" spans="1:17" s="18" customFormat="1" x14ac:dyDescent="0.35">
      <c r="A216" s="80"/>
      <c r="B216" s="80"/>
      <c r="C216" s="238"/>
      <c r="D216" s="238"/>
      <c r="E216" s="80"/>
      <c r="F216" s="80"/>
      <c r="G216" s="80"/>
      <c r="H216" s="79"/>
      <c r="J216" s="78"/>
      <c r="K216" s="78"/>
      <c r="L216" s="78"/>
      <c r="M216" s="78"/>
      <c r="N216" s="78"/>
      <c r="O216" s="78"/>
      <c r="P216" s="78"/>
      <c r="Q216" s="78"/>
    </row>
    <row r="217" spans="1:17" s="18" customFormat="1" x14ac:dyDescent="0.35">
      <c r="A217" s="80"/>
      <c r="B217" s="80"/>
      <c r="C217" s="238"/>
      <c r="D217" s="238"/>
      <c r="E217" s="80"/>
      <c r="F217" s="80"/>
      <c r="G217" s="80"/>
      <c r="H217" s="79"/>
      <c r="J217" s="78"/>
      <c r="K217" s="78"/>
      <c r="L217" s="78"/>
      <c r="M217" s="78"/>
      <c r="N217" s="78"/>
      <c r="O217" s="78"/>
      <c r="P217" s="78"/>
      <c r="Q217" s="78"/>
    </row>
    <row r="218" spans="1:17" s="18" customFormat="1" x14ac:dyDescent="0.35">
      <c r="A218" s="80"/>
      <c r="B218" s="80"/>
      <c r="C218" s="238"/>
      <c r="D218" s="238"/>
      <c r="E218" s="80"/>
      <c r="F218" s="80"/>
      <c r="G218" s="80"/>
      <c r="H218" s="79"/>
      <c r="J218" s="78"/>
      <c r="K218" s="78"/>
      <c r="L218" s="78"/>
      <c r="M218" s="78"/>
      <c r="N218" s="78"/>
      <c r="O218" s="78"/>
      <c r="P218" s="78"/>
      <c r="Q218" s="78"/>
    </row>
    <row r="219" spans="1:17" s="18" customFormat="1" x14ac:dyDescent="0.35">
      <c r="A219" s="80"/>
      <c r="B219" s="80"/>
      <c r="C219" s="238"/>
      <c r="D219" s="238"/>
      <c r="E219" s="80"/>
      <c r="F219" s="80"/>
      <c r="G219" s="80"/>
      <c r="H219" s="79"/>
      <c r="J219" s="78"/>
      <c r="K219" s="78"/>
      <c r="L219" s="78"/>
      <c r="M219" s="78"/>
      <c r="N219" s="78"/>
      <c r="O219" s="78"/>
      <c r="P219" s="78"/>
      <c r="Q219" s="78"/>
    </row>
    <row r="220" spans="1:17" s="18" customFormat="1" x14ac:dyDescent="0.35">
      <c r="A220" s="80"/>
      <c r="B220" s="80"/>
      <c r="C220" s="238"/>
      <c r="D220" s="238"/>
      <c r="E220" s="80"/>
      <c r="F220" s="80"/>
      <c r="G220" s="80"/>
      <c r="H220" s="79"/>
      <c r="J220" s="78"/>
      <c r="K220" s="78"/>
      <c r="L220" s="78"/>
      <c r="M220" s="78"/>
      <c r="N220" s="78"/>
      <c r="O220" s="78"/>
      <c r="P220" s="78"/>
      <c r="Q220" s="78"/>
    </row>
    <row r="221" spans="1:17" s="18" customFormat="1" x14ac:dyDescent="0.35">
      <c r="A221" s="80"/>
      <c r="B221" s="80"/>
      <c r="C221" s="238"/>
      <c r="D221" s="238"/>
      <c r="E221" s="80"/>
      <c r="F221" s="80"/>
      <c r="G221" s="80"/>
      <c r="H221" s="79"/>
      <c r="J221" s="78"/>
      <c r="K221" s="78"/>
      <c r="L221" s="78"/>
      <c r="M221" s="78"/>
      <c r="N221" s="78"/>
      <c r="O221" s="78"/>
      <c r="P221" s="78"/>
      <c r="Q221" s="78"/>
    </row>
    <row r="222" spans="1:17" s="18" customFormat="1" x14ac:dyDescent="0.35">
      <c r="A222" s="80"/>
      <c r="B222" s="80"/>
      <c r="C222" s="238"/>
      <c r="D222" s="238"/>
      <c r="E222" s="80"/>
      <c r="F222" s="80"/>
      <c r="G222" s="80"/>
      <c r="H222" s="79"/>
      <c r="J222" s="78"/>
      <c r="K222" s="78"/>
      <c r="L222" s="78"/>
      <c r="M222" s="78"/>
      <c r="N222" s="78"/>
      <c r="O222" s="78"/>
      <c r="P222" s="78"/>
      <c r="Q222" s="78"/>
    </row>
    <row r="223" spans="1:17" s="18" customFormat="1" x14ac:dyDescent="0.35">
      <c r="A223" s="80"/>
      <c r="B223" s="80"/>
      <c r="C223" s="238"/>
      <c r="D223" s="238"/>
      <c r="E223" s="80"/>
      <c r="F223" s="80"/>
      <c r="G223" s="80"/>
      <c r="H223" s="79"/>
      <c r="J223" s="78"/>
      <c r="K223" s="78"/>
      <c r="L223" s="78"/>
      <c r="M223" s="78"/>
      <c r="N223" s="78"/>
      <c r="O223" s="78"/>
      <c r="P223" s="78"/>
      <c r="Q223" s="78"/>
    </row>
    <row r="224" spans="1:17" s="18" customFormat="1" x14ac:dyDescent="0.35">
      <c r="A224" s="80"/>
      <c r="B224" s="80"/>
      <c r="C224" s="238"/>
      <c r="D224" s="238"/>
      <c r="E224" s="80"/>
      <c r="F224" s="80"/>
      <c r="G224" s="80"/>
      <c r="H224" s="79"/>
      <c r="J224" s="78"/>
      <c r="K224" s="78"/>
      <c r="L224" s="78"/>
      <c r="M224" s="78"/>
      <c r="N224" s="78"/>
      <c r="O224" s="78"/>
      <c r="P224" s="78"/>
      <c r="Q224" s="78"/>
    </row>
    <row r="225" spans="1:17" s="18" customFormat="1" x14ac:dyDescent="0.35">
      <c r="A225" s="80"/>
      <c r="B225" s="80"/>
      <c r="C225" s="238"/>
      <c r="D225" s="238"/>
      <c r="E225" s="80"/>
      <c r="F225" s="80"/>
      <c r="G225" s="80"/>
      <c r="H225" s="79"/>
      <c r="J225" s="78"/>
      <c r="K225" s="78"/>
      <c r="L225" s="78"/>
      <c r="M225" s="78"/>
      <c r="N225" s="78"/>
      <c r="O225" s="78"/>
      <c r="P225" s="78"/>
      <c r="Q225" s="78"/>
    </row>
    <row r="226" spans="1:17" s="18" customFormat="1" x14ac:dyDescent="0.35">
      <c r="A226" s="80"/>
      <c r="B226" s="80"/>
      <c r="C226" s="238"/>
      <c r="D226" s="238"/>
      <c r="E226" s="80"/>
      <c r="F226" s="80"/>
      <c r="G226" s="80"/>
      <c r="H226" s="79"/>
      <c r="J226" s="78"/>
      <c r="K226" s="78"/>
      <c r="L226" s="78"/>
      <c r="M226" s="78"/>
      <c r="N226" s="78"/>
      <c r="O226" s="78"/>
      <c r="P226" s="78"/>
      <c r="Q226" s="78"/>
    </row>
    <row r="227" spans="1:17" s="18" customFormat="1" x14ac:dyDescent="0.35">
      <c r="A227" s="80"/>
      <c r="B227" s="80"/>
      <c r="C227" s="238"/>
      <c r="D227" s="238"/>
      <c r="E227" s="80"/>
      <c r="F227" s="80"/>
      <c r="G227" s="80"/>
      <c r="H227" s="79"/>
      <c r="J227" s="78"/>
      <c r="K227" s="78"/>
      <c r="L227" s="78"/>
      <c r="M227" s="78"/>
      <c r="N227" s="78"/>
      <c r="O227" s="78"/>
      <c r="P227" s="78"/>
      <c r="Q227" s="78"/>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B6"/>
  </mergeCells>
  <phoneticPr fontId="16"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7" r:id="rId20" name="Check Box 13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8" r:id="rId21" name="Check Box 13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9" r:id="rId22" name="Check Box 13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0" r:id="rId23" name="Check Box 13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1" r:id="rId24" name="Check Box 13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2" r:id="rId25" name="Check Box 13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3" r:id="rId26" name="Check Box 13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4" r:id="rId27" name="Check Box 13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5" r:id="rId28" name="Check Box 13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6" r:id="rId29" name="Check Box 140">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7" r:id="rId30" name="Check Box 141">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8" r:id="rId31" name="Check Box 142">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9" r:id="rId32" name="Check Box 143">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0" r:id="rId33" name="Check Box 144">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1" r:id="rId34" name="Check Box 14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2" r:id="rId35" name="Check Box 14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3" r:id="rId36" name="Check Box 14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4" r:id="rId37" name="Check Box 14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5" r:id="rId38" name="Check Box 14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7" r:id="rId39" name="Check Box 15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8" r:id="rId40" name="Check Box 15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9" r:id="rId41" name="Check Box 15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0" r:id="rId42" name="Check Box 15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1" r:id="rId43" name="Check Box 15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2" r:id="rId44" name="Check Box 15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3" r:id="rId45" name="Check Box 15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4" r:id="rId46" name="Check Box 15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5" r:id="rId47" name="Check Box 15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6" r:id="rId48" name="Check Box 16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7" r:id="rId49" name="Check Box 16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8" r:id="rId50" name="Check Box 16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9" r:id="rId51" name="Check Box 16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0" r:id="rId52" name="Check Box 16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1" r:id="rId53" name="Check Box 16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4" r:id="rId54" name="Check Box 16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5" r:id="rId55" name="Check Box 16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6" r:id="rId56" name="Check Box 17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7" r:id="rId57" name="Check Box 17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8" r:id="rId58" name="Check Box 17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9" r:id="rId59" name="Check Box 17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0" r:id="rId60" name="Check Box 17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1" r:id="rId61" name="Check Box 17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2" r:id="rId62" name="Check Box 17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3" r:id="rId63" name="Check Box 17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4" r:id="rId64" name="Check Box 17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5" r:id="rId65" name="Check Box 17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6" r:id="rId66" name="Check Box 18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8" r:id="rId67" name="Check Box 18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9" r:id="rId68" name="Check Box 18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0" r:id="rId69" name="Check Box 18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1" r:id="rId70" name="Check Box 18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2" r:id="rId71" name="Check Box 18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3" r:id="rId72" name="Check Box 18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4" r:id="rId73" name="Check Box 18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5" r:id="rId74" name="Check Box 18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6" r:id="rId75" name="Check Box 19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7" r:id="rId76" name="Check Box 19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8" r:id="rId77" name="Check Box 19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9" r:id="rId78" name="Check Box 19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1" r:id="rId79" name="Check Box 19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2" r:id="rId80" name="Check Box 19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3" r:id="rId81" name="Check Box 19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4" r:id="rId82" name="Check Box 19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5" r:id="rId83" name="Check Box 19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6" r:id="rId84" name="Check Box 20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7" r:id="rId85" name="Check Box 20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8" r:id="rId86" name="Check Box 202">
              <controlPr defaultSize="0" autoFill="0" autoLine="0" autoPict="0">
                <anchor moveWithCells="1">
                  <from>
                    <xdr:col>1</xdr:col>
                    <xdr:colOff>419100</xdr:colOff>
                    <xdr:row>133</xdr:row>
                    <xdr:rowOff>0</xdr:rowOff>
                  </from>
                  <to>
                    <xdr:col>1</xdr:col>
                    <xdr:colOff>609600</xdr:colOff>
                    <xdr:row>133</xdr:row>
                    <xdr:rowOff>203200</xdr:rowOff>
                  </to>
                </anchor>
              </controlPr>
            </control>
          </mc:Choice>
        </mc:AlternateContent>
        <mc:AlternateContent xmlns:mc="http://schemas.openxmlformats.org/markup-compatibility/2006">
          <mc:Choice Requires="x14">
            <control shapeId="45259" r:id="rId87" name="Check Box 203">
              <controlPr defaultSize="0" autoFill="0" autoLine="0" autoPict="0">
                <anchor moveWithCells="1">
                  <from>
                    <xdr:col>1</xdr:col>
                    <xdr:colOff>419100</xdr:colOff>
                    <xdr:row>133</xdr:row>
                    <xdr:rowOff>203200</xdr:rowOff>
                  </from>
                  <to>
                    <xdr:col>1</xdr:col>
                    <xdr:colOff>609600</xdr:colOff>
                    <xdr:row>135</xdr:row>
                    <xdr:rowOff>12700</xdr:rowOff>
                  </to>
                </anchor>
              </controlPr>
            </control>
          </mc:Choice>
        </mc:AlternateContent>
        <mc:AlternateContent xmlns:mc="http://schemas.openxmlformats.org/markup-compatibility/2006">
          <mc:Choice Requires="x14">
            <control shapeId="45260" r:id="rId88" name="Check Box 204">
              <controlPr defaultSize="0" autoFill="0" autoLine="0" autoPict="0">
                <anchor moveWithCells="1">
                  <from>
                    <xdr:col>1</xdr:col>
                    <xdr:colOff>419100</xdr:colOff>
                    <xdr:row>135</xdr:row>
                    <xdr:rowOff>0</xdr:rowOff>
                  </from>
                  <to>
                    <xdr:col>1</xdr:col>
                    <xdr:colOff>609600</xdr:colOff>
                    <xdr:row>136</xdr:row>
                    <xdr:rowOff>12700</xdr:rowOff>
                  </to>
                </anchor>
              </controlPr>
            </control>
          </mc:Choice>
        </mc:AlternateContent>
        <mc:AlternateContent xmlns:mc="http://schemas.openxmlformats.org/markup-compatibility/2006">
          <mc:Choice Requires="x14">
            <control shapeId="45265" r:id="rId89" name="Check Box 209">
              <controlPr defaultSize="0" autoFill="0" autoLine="0" autoPict="0">
                <anchor moveWithCells="1">
                  <from>
                    <xdr:col>1</xdr:col>
                    <xdr:colOff>419100</xdr:colOff>
                    <xdr:row>140</xdr:row>
                    <xdr:rowOff>0</xdr:rowOff>
                  </from>
                  <to>
                    <xdr:col>1</xdr:col>
                    <xdr:colOff>609600</xdr:colOff>
                    <xdr:row>141</xdr:row>
                    <xdr:rowOff>19050</xdr:rowOff>
                  </to>
                </anchor>
              </controlPr>
            </control>
          </mc:Choice>
        </mc:AlternateContent>
        <mc:AlternateContent xmlns:mc="http://schemas.openxmlformats.org/markup-compatibility/2006">
          <mc:Choice Requires="x14">
            <control shapeId="45266" r:id="rId90" name="Check Box 210">
              <controlPr defaultSize="0" autoFill="0" autoLine="0" autoPict="0">
                <anchor moveWithCells="1">
                  <from>
                    <xdr:col>1</xdr:col>
                    <xdr:colOff>419100</xdr:colOff>
                    <xdr:row>141</xdr:row>
                    <xdr:rowOff>12700</xdr:rowOff>
                  </from>
                  <to>
                    <xdr:col>1</xdr:col>
                    <xdr:colOff>609600</xdr:colOff>
                    <xdr:row>142</xdr:row>
                    <xdr:rowOff>0</xdr:rowOff>
                  </to>
                </anchor>
              </controlPr>
            </control>
          </mc:Choice>
        </mc:AlternateContent>
        <mc:AlternateContent xmlns:mc="http://schemas.openxmlformats.org/markup-compatibility/2006">
          <mc:Choice Requires="x14">
            <control shapeId="45267" r:id="rId91" name="Check Box 211">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68" r:id="rId92" name="Check Box 212">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69" r:id="rId93" name="Check Box 213">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0" r:id="rId94" name="Check Box 214">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1" r:id="rId95" name="Check Box 215">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2" r:id="rId96" name="Check Box 216">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3" r:id="rId97" name="Check Box 217">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5" r:id="rId98" name="Check Box 219">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6" r:id="rId99" name="Check Box 220">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7" r:id="rId100" name="Check Box 221">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8" r:id="rId101" name="Check Box 222">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9" r:id="rId102" name="Check Box 223">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0" r:id="rId103" name="Check Box 224">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1" r:id="rId104" name="Check Box 225">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2" r:id="rId105" name="Check Box 226">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3" r:id="rId106" name="Check Box 227">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4" r:id="rId107" name="Check Box 228">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5" r:id="rId108" name="Check Box 229">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6" r:id="rId109" name="Check Box 230">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7" r:id="rId110" name="Check Box 231">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8" r:id="rId111" name="Check Box 232">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9" r:id="rId112" name="Check Box 233">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90" r:id="rId113" name="Check Box 234">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91" r:id="rId114" name="Check Box 235">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92" r:id="rId115" name="Check Box 236">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93" r:id="rId116" name="Check Box 237">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94" r:id="rId117" name="Check Box 238">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95" r:id="rId118" name="Check Box 239">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16"/>
  <sheetViews>
    <sheetView zoomScaleNormal="100" zoomScaleSheetLayoutView="100" workbookViewId="0">
      <selection activeCell="G6" sqref="G6:G11"/>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71" t="s">
        <v>414</v>
      </c>
    </row>
    <row r="2" spans="1:8" s="5" customFormat="1" x14ac:dyDescent="0.35">
      <c r="A2" s="586" t="s">
        <v>30</v>
      </c>
      <c r="B2" s="587"/>
      <c r="C2" s="587"/>
      <c r="G2" s="372" t="str">
        <f>VLOOKUP(shiptypenum,shiptbl,2,FALSE)</f>
        <v>LSD</v>
      </c>
    </row>
    <row r="3" spans="1:8" s="5" customFormat="1" x14ac:dyDescent="0.35">
      <c r="A3" s="42"/>
      <c r="B3" s="15"/>
      <c r="C3" s="15"/>
    </row>
    <row r="4" spans="1:8" s="5" customFormat="1" ht="36.75" customHeight="1" x14ac:dyDescent="0.35">
      <c r="A4" s="585" t="s">
        <v>483</v>
      </c>
      <c r="B4" s="585"/>
      <c r="C4" s="215"/>
      <c r="D4" s="228"/>
    </row>
    <row r="5" spans="1:8" s="5" customFormat="1" ht="36.75" customHeight="1" thickBot="1" x14ac:dyDescent="0.4">
      <c r="A5" s="585" t="s">
        <v>482</v>
      </c>
      <c r="B5" s="585"/>
      <c r="C5" s="215"/>
      <c r="D5" s="228"/>
    </row>
    <row r="6" spans="1:8" s="5" customFormat="1" ht="16.5" thickTop="1" thickBot="1" x14ac:dyDescent="0.4">
      <c r="A6" s="61"/>
      <c r="B6" s="32"/>
      <c r="C6" s="21" t="s">
        <v>26</v>
      </c>
      <c r="D6" s="13" t="s">
        <v>24</v>
      </c>
      <c r="E6" s="13" t="s">
        <v>25</v>
      </c>
      <c r="F6" s="126" t="s">
        <v>128</v>
      </c>
      <c r="G6" s="483"/>
    </row>
    <row r="7" spans="1:8" ht="47.25" customHeight="1" thickTop="1" x14ac:dyDescent="0.35">
      <c r="A7" s="155" t="s">
        <v>28</v>
      </c>
      <c r="B7" s="76" t="s">
        <v>229</v>
      </c>
      <c r="C7" s="492" t="b">
        <v>0</v>
      </c>
      <c r="D7" s="189">
        <v>5</v>
      </c>
      <c r="E7" s="184">
        <f>IF(C7,D7,0)</f>
        <v>0</v>
      </c>
      <c r="F7" s="25"/>
      <c r="G7" s="483"/>
      <c r="H7" s="34"/>
    </row>
    <row r="8" spans="1:8" ht="48" customHeight="1" x14ac:dyDescent="0.35">
      <c r="A8" s="155" t="s">
        <v>125</v>
      </c>
      <c r="B8" s="244" t="s">
        <v>256</v>
      </c>
      <c r="C8" s="492" t="s">
        <v>481</v>
      </c>
      <c r="D8" s="189">
        <v>0</v>
      </c>
      <c r="E8" s="184">
        <v>0</v>
      </c>
      <c r="F8" s="25"/>
      <c r="G8" s="483"/>
      <c r="H8" s="34"/>
    </row>
    <row r="9" spans="1:8" ht="48" customHeight="1" x14ac:dyDescent="0.35">
      <c r="A9" s="155" t="s">
        <v>126</v>
      </c>
      <c r="B9" s="214" t="s">
        <v>230</v>
      </c>
      <c r="C9" s="492" t="b">
        <v>0</v>
      </c>
      <c r="D9" s="189">
        <v>5</v>
      </c>
      <c r="E9" s="184">
        <f t="shared" ref="E9:E10" si="0">IF(C9,D9,0)</f>
        <v>0</v>
      </c>
      <c r="F9" s="25"/>
      <c r="G9" s="483"/>
      <c r="H9" s="34"/>
    </row>
    <row r="10" spans="1:8" ht="42.75" customHeight="1" x14ac:dyDescent="0.35">
      <c r="A10" s="155" t="s">
        <v>127</v>
      </c>
      <c r="B10" s="244" t="s">
        <v>257</v>
      </c>
      <c r="C10" s="491" t="b">
        <v>0</v>
      </c>
      <c r="D10" s="189">
        <v>5</v>
      </c>
      <c r="E10" s="184">
        <f t="shared" si="0"/>
        <v>0</v>
      </c>
      <c r="F10" s="25"/>
      <c r="G10" s="483"/>
      <c r="H10" s="19"/>
    </row>
    <row r="11" spans="1:8" ht="39.75" customHeight="1" thickBot="1" x14ac:dyDescent="0.4">
      <c r="A11" s="155" t="s">
        <v>231</v>
      </c>
      <c r="B11" s="59" t="s">
        <v>112</v>
      </c>
      <c r="C11" s="493" t="s">
        <v>481</v>
      </c>
      <c r="D11" s="189">
        <v>0</v>
      </c>
      <c r="E11" s="184">
        <v>0</v>
      </c>
      <c r="F11" s="25"/>
      <c r="G11" s="483"/>
    </row>
    <row r="12" spans="1:8" ht="20.25" customHeight="1" thickTop="1" thickBot="1" x14ac:dyDescent="0.4">
      <c r="A12" s="29"/>
      <c r="B12" s="27"/>
      <c r="G12" s="487"/>
    </row>
    <row r="13" spans="1:8" ht="16" thickBot="1" x14ac:dyDescent="0.4">
      <c r="B13" s="28" t="s">
        <v>29</v>
      </c>
      <c r="C13" s="494">
        <f>E13/(D13-F13)</f>
        <v>0</v>
      </c>
      <c r="D13" s="189">
        <f>SUM(D7:D11)</f>
        <v>15</v>
      </c>
      <c r="E13" s="189">
        <f>SUM(E7:E11)</f>
        <v>0</v>
      </c>
      <c r="F13" s="26">
        <f>SUM(F7:F11)</f>
        <v>0</v>
      </c>
      <c r="G13" s="487"/>
    </row>
    <row r="14" spans="1:8" ht="16" thickBot="1" x14ac:dyDescent="0.4">
      <c r="G14" s="487"/>
    </row>
    <row r="15" spans="1:8" ht="187.5" customHeight="1" thickBot="1" x14ac:dyDescent="0.4">
      <c r="B15" s="588" t="s">
        <v>47</v>
      </c>
      <c r="C15" s="589"/>
      <c r="G15" s="487"/>
    </row>
    <row r="16" spans="1:8" x14ac:dyDescent="0.35">
      <c r="B16" s="24"/>
    </row>
  </sheetData>
  <mergeCells count="4">
    <mergeCell ref="A2:C2"/>
    <mergeCell ref="A5:B5"/>
    <mergeCell ref="B15:C15"/>
    <mergeCell ref="A4:B4"/>
  </mergeCells>
  <phoneticPr fontId="16"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9" r:id="rId4" name="Check Box 3">
              <controlPr defaultSize="0" autoFill="0" autoLine="0" autoPict="0">
                <anchor moveWithCells="1">
                  <from>
                    <xdr:col>2</xdr:col>
                    <xdr:colOff>419100</xdr:colOff>
                    <xdr:row>9</xdr:row>
                    <xdr:rowOff>190500</xdr:rowOff>
                  </from>
                  <to>
                    <xdr:col>2</xdr:col>
                    <xdr:colOff>914400</xdr:colOff>
                    <xdr:row>9</xdr:row>
                    <xdr:rowOff>412750</xdr:rowOff>
                  </to>
                </anchor>
              </controlPr>
            </control>
          </mc:Choice>
        </mc:AlternateContent>
        <mc:AlternateContent xmlns:mc="http://schemas.openxmlformats.org/markup-compatibility/2006">
          <mc:Choice Requires="x14">
            <control shapeId="24586" r:id="rId5" name="Check Box 10">
              <controlPr defaultSize="0" autoFill="0" autoLine="0" autoPict="0">
                <anchor moveWithCells="1">
                  <from>
                    <xdr:col>2</xdr:col>
                    <xdr:colOff>419100</xdr:colOff>
                    <xdr:row>6</xdr:row>
                    <xdr:rowOff>190500</xdr:rowOff>
                  </from>
                  <to>
                    <xdr:col>2</xdr:col>
                    <xdr:colOff>914400</xdr:colOff>
                    <xdr:row>6</xdr:row>
                    <xdr:rowOff>552450</xdr:rowOff>
                  </to>
                </anchor>
              </controlPr>
            </control>
          </mc:Choice>
        </mc:AlternateContent>
        <mc:AlternateContent xmlns:mc="http://schemas.openxmlformats.org/markup-compatibility/2006">
          <mc:Choice Requires="x14">
            <control shapeId="24591" r:id="rId6" name="Check Box 15">
              <controlPr defaultSize="0" autoFill="0" autoLine="0" autoPict="0">
                <anchor moveWithCells="1">
                  <from>
                    <xdr:col>2</xdr:col>
                    <xdr:colOff>438150</xdr:colOff>
                    <xdr:row>8</xdr:row>
                    <xdr:rowOff>95250</xdr:rowOff>
                  </from>
                  <to>
                    <xdr:col>2</xdr:col>
                    <xdr:colOff>933450</xdr:colOff>
                    <xdr:row>8</xdr:row>
                    <xdr:rowOff>457200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17"/>
  <sheetViews>
    <sheetView zoomScaleNormal="100" zoomScaleSheetLayoutView="100" workbookViewId="0">
      <selection activeCell="G6" sqref="G6:G14"/>
    </sheetView>
  </sheetViews>
  <sheetFormatPr defaultRowHeight="15.5" x14ac:dyDescent="0.35"/>
  <cols>
    <col min="1" max="1" width="11.1796875" style="181"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9" s="40" customFormat="1" x14ac:dyDescent="0.35">
      <c r="A1" s="590" t="s">
        <v>0</v>
      </c>
      <c r="B1" s="590"/>
      <c r="C1" s="590"/>
      <c r="G1" s="371" t="s">
        <v>414</v>
      </c>
    </row>
    <row r="2" spans="1:9" s="40" customFormat="1" x14ac:dyDescent="0.35">
      <c r="A2" s="374"/>
      <c r="B2" s="374"/>
      <c r="C2" s="374"/>
      <c r="G2" s="372" t="str">
        <f>VLOOKUP(shiptypenum,shiptbl,2,FALSE)</f>
        <v>LSD</v>
      </c>
    </row>
    <row r="3" spans="1:9" s="40" customFormat="1" x14ac:dyDescent="0.35">
      <c r="A3" s="53" t="s">
        <v>44</v>
      </c>
      <c r="B3" s="51"/>
      <c r="C3" s="53"/>
      <c r="D3" s="51"/>
    </row>
    <row r="4" spans="1:9" s="40" customFormat="1" ht="36.75" customHeight="1" x14ac:dyDescent="0.35">
      <c r="A4" s="585" t="s">
        <v>483</v>
      </c>
      <c r="B4" s="585"/>
      <c r="C4" s="215"/>
      <c r="D4" s="373"/>
      <c r="G4" s="295"/>
    </row>
    <row r="5" spans="1:9" s="40" customFormat="1" ht="36.75" customHeight="1" thickBot="1" x14ac:dyDescent="0.4">
      <c r="A5" s="585" t="s">
        <v>482</v>
      </c>
      <c r="B5" s="585"/>
      <c r="C5" s="215"/>
      <c r="D5" s="373"/>
    </row>
    <row r="6" spans="1:9" s="40" customFormat="1" ht="16.5" thickTop="1" thickBot="1" x14ac:dyDescent="0.4">
      <c r="A6" s="176"/>
      <c r="B6" s="177"/>
      <c r="C6" s="178" t="s">
        <v>26</v>
      </c>
      <c r="D6" s="126" t="s">
        <v>24</v>
      </c>
      <c r="E6" s="126" t="s">
        <v>25</v>
      </c>
      <c r="F6" s="126"/>
      <c r="G6" s="483"/>
    </row>
    <row r="7" spans="1:9" ht="23.25" customHeight="1" thickTop="1" x14ac:dyDescent="0.35">
      <c r="A7" s="591" t="s">
        <v>217</v>
      </c>
      <c r="B7" s="592"/>
      <c r="C7" s="453"/>
      <c r="D7" s="184"/>
      <c r="E7" s="189"/>
      <c r="G7" s="483"/>
    </row>
    <row r="8" spans="1:9" ht="57.75" customHeight="1" x14ac:dyDescent="0.35">
      <c r="A8" s="37" t="s">
        <v>55</v>
      </c>
      <c r="B8" s="150" t="s">
        <v>474</v>
      </c>
      <c r="C8" s="264" t="b">
        <v>0</v>
      </c>
      <c r="D8" s="184">
        <v>10</v>
      </c>
      <c r="E8" s="189">
        <f t="shared" ref="E8:E10" si="0">IF(C8,D8,0)</f>
        <v>0</v>
      </c>
      <c r="G8" s="483"/>
    </row>
    <row r="9" spans="1:9" ht="57.75" customHeight="1" x14ac:dyDescent="0.35">
      <c r="A9" s="37" t="s">
        <v>56</v>
      </c>
      <c r="B9" s="150" t="s">
        <v>475</v>
      </c>
      <c r="C9" s="264" t="b">
        <v>0</v>
      </c>
      <c r="D9" s="184">
        <v>10</v>
      </c>
      <c r="E9" s="189">
        <f t="shared" si="0"/>
        <v>0</v>
      </c>
      <c r="G9" s="483"/>
    </row>
    <row r="10" spans="1:9" ht="50.25" customHeight="1" thickBot="1" x14ac:dyDescent="0.4">
      <c r="A10" s="180" t="s">
        <v>57</v>
      </c>
      <c r="B10" s="202" t="s">
        <v>417</v>
      </c>
      <c r="C10" s="266" t="b">
        <v>0</v>
      </c>
      <c r="D10" s="184">
        <v>8</v>
      </c>
      <c r="E10" s="189">
        <f t="shared" si="0"/>
        <v>0</v>
      </c>
      <c r="G10" s="483"/>
      <c r="I10" s="1"/>
    </row>
    <row r="11" spans="1:9" ht="17.25" customHeight="1" thickTop="1" thickBot="1" x14ac:dyDescent="0.4">
      <c r="B11" s="201"/>
      <c r="C11" s="190"/>
      <c r="D11" s="140"/>
      <c r="E11" s="140"/>
      <c r="G11" s="488"/>
    </row>
    <row r="12" spans="1:9" ht="28.5" customHeight="1" thickBot="1" x14ac:dyDescent="0.4">
      <c r="B12" s="498" t="s">
        <v>29</v>
      </c>
      <c r="C12" s="252">
        <f>E12/D12</f>
        <v>0</v>
      </c>
      <c r="D12" s="184">
        <f>SUM(D7:D10)</f>
        <v>28</v>
      </c>
      <c r="E12" s="184">
        <f>SUM(E7:E10)</f>
        <v>0</v>
      </c>
      <c r="G12" s="488"/>
    </row>
    <row r="13" spans="1:9" x14ac:dyDescent="0.35">
      <c r="B13" s="190"/>
      <c r="C13" s="190"/>
      <c r="D13" s="190"/>
    </row>
    <row r="14" spans="1:9" ht="28.5" customHeight="1" thickBot="1" x14ac:dyDescent="0.4"/>
    <row r="15" spans="1:9" ht="93.75" customHeight="1" thickBot="1" x14ac:dyDescent="0.4">
      <c r="B15" s="509" t="s">
        <v>46</v>
      </c>
    </row>
    <row r="16" spans="1:9" ht="14.5" x14ac:dyDescent="0.35">
      <c r="A16"/>
    </row>
    <row r="17" spans="1:1" ht="93.75" customHeight="1" x14ac:dyDescent="0.35">
      <c r="A17"/>
    </row>
  </sheetData>
  <mergeCells count="4">
    <mergeCell ref="A1:C1"/>
    <mergeCell ref="A4:B4"/>
    <mergeCell ref="A5:B5"/>
    <mergeCell ref="A7:B7"/>
  </mergeCells>
  <phoneticPr fontId="16"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83" r:id="rId4" name="Check Box 83">
              <controlPr defaultSize="0" autoFill="0" autoLine="0" autoPict="0">
                <anchor moveWithCells="1">
                  <from>
                    <xdr:col>2</xdr:col>
                    <xdr:colOff>419100</xdr:colOff>
                    <xdr:row>7</xdr:row>
                    <xdr:rowOff>0</xdr:rowOff>
                  </from>
                  <to>
                    <xdr:col>2</xdr:col>
                    <xdr:colOff>609600</xdr:colOff>
                    <xdr:row>7</xdr:row>
                    <xdr:rowOff>209550</xdr:rowOff>
                  </to>
                </anchor>
              </controlPr>
            </control>
          </mc:Choice>
        </mc:AlternateContent>
        <mc:AlternateContent xmlns:mc="http://schemas.openxmlformats.org/markup-compatibility/2006">
          <mc:Choice Requires="x14">
            <control shapeId="25684" r:id="rId5" name="Check Box 84">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25685" r:id="rId6" name="Check Box 85">
              <controlPr defaultSize="0" autoFill="0" autoLine="0" autoPict="0">
                <anchor moveWithCells="1">
                  <from>
                    <xdr:col>2</xdr:col>
                    <xdr:colOff>419100</xdr:colOff>
                    <xdr:row>9</xdr:row>
                    <xdr:rowOff>0</xdr:rowOff>
                  </from>
                  <to>
                    <xdr:col>2</xdr:col>
                    <xdr:colOff>609600</xdr:colOff>
                    <xdr:row>9</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6"/>
  <sheetViews>
    <sheetView zoomScaleNormal="100" zoomScaleSheetLayoutView="100" workbookViewId="0">
      <selection activeCell="G6" sqref="G6:G13"/>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2" t="s">
        <v>49</v>
      </c>
      <c r="F1" s="62"/>
      <c r="G1" s="371" t="s">
        <v>414</v>
      </c>
    </row>
    <row r="2" spans="1:7" ht="15.5" x14ac:dyDescent="0.35">
      <c r="F2" s="62"/>
      <c r="G2" s="372" t="str">
        <f>VLOOKUP(shiptypenum,shiptbl,2,FALSE)</f>
        <v>LSD</v>
      </c>
    </row>
    <row r="3" spans="1:7" s="5" customFormat="1" ht="19.5" customHeight="1" x14ac:dyDescent="0.35">
      <c r="A3" s="53" t="s">
        <v>44</v>
      </c>
      <c r="B3" s="51"/>
      <c r="C3" s="52"/>
      <c r="D3" s="40"/>
    </row>
    <row r="4" spans="1:7" s="5" customFormat="1" ht="36.75" customHeight="1" x14ac:dyDescent="0.35">
      <c r="A4" s="585" t="s">
        <v>483</v>
      </c>
      <c r="B4" s="585"/>
      <c r="C4" s="585"/>
      <c r="D4" s="212"/>
    </row>
    <row r="5" spans="1:7" s="5" customFormat="1" ht="36.75" customHeight="1" thickBot="1" x14ac:dyDescent="0.4">
      <c r="A5" s="585" t="s">
        <v>482</v>
      </c>
      <c r="B5" s="585"/>
      <c r="C5" s="585"/>
      <c r="D5" s="212"/>
    </row>
    <row r="6" spans="1:7" s="5" customFormat="1" ht="16.5" thickTop="1" thickBot="1" x14ac:dyDescent="0.4">
      <c r="A6" s="61"/>
      <c r="B6" s="224"/>
      <c r="C6" s="225"/>
      <c r="D6" s="21" t="s">
        <v>26</v>
      </c>
      <c r="E6" s="13" t="s">
        <v>24</v>
      </c>
      <c r="F6" s="13" t="s">
        <v>25</v>
      </c>
      <c r="G6" s="483"/>
    </row>
    <row r="7" spans="1:7" ht="69" customHeight="1" thickTop="1" x14ac:dyDescent="0.35">
      <c r="A7" s="251"/>
      <c r="B7" s="595" t="s">
        <v>261</v>
      </c>
      <c r="C7" s="596"/>
      <c r="D7" s="460"/>
      <c r="E7" s="165"/>
      <c r="F7" s="184"/>
      <c r="G7" s="329"/>
    </row>
    <row r="8" spans="1:7" ht="23.25" customHeight="1" x14ac:dyDescent="0.35">
      <c r="A8" s="160" t="s">
        <v>252</v>
      </c>
      <c r="B8" s="247" t="s">
        <v>248</v>
      </c>
      <c r="C8" s="248">
        <f>VLOOKUP(ship_type,sqft_tbl,2,FALSE)</f>
        <v>100</v>
      </c>
      <c r="D8" s="459" t="b">
        <v>0</v>
      </c>
      <c r="E8" s="81">
        <v>5</v>
      </c>
      <c r="F8" s="184">
        <f>IF(D8,E8,0)</f>
        <v>0</v>
      </c>
      <c r="G8" s="483"/>
    </row>
    <row r="9" spans="1:7" ht="24" customHeight="1" x14ac:dyDescent="0.35">
      <c r="A9" s="160" t="s">
        <v>253</v>
      </c>
      <c r="B9" s="234" t="s">
        <v>249</v>
      </c>
      <c r="C9" s="249">
        <f>VLOOKUP(ship_type,sqft_tbl,3,FALSE)</f>
        <v>80</v>
      </c>
      <c r="D9" s="250" t="b">
        <v>0</v>
      </c>
      <c r="E9" s="81">
        <v>8</v>
      </c>
      <c r="F9" s="184">
        <f t="shared" ref="F9:F11" si="0">IF(D9,E9,0)</f>
        <v>0</v>
      </c>
      <c r="G9" s="483"/>
    </row>
    <row r="10" spans="1:7" ht="23.25" customHeight="1" x14ac:dyDescent="0.35">
      <c r="A10" s="160" t="s">
        <v>254</v>
      </c>
      <c r="B10" s="234" t="s">
        <v>250</v>
      </c>
      <c r="C10" s="249">
        <f>VLOOKUP(ship_type,sqft_tbl,4,FALSE)</f>
        <v>20</v>
      </c>
      <c r="D10" s="250" t="b">
        <v>0</v>
      </c>
      <c r="E10" s="81">
        <v>8</v>
      </c>
      <c r="F10" s="184">
        <f t="shared" si="0"/>
        <v>0</v>
      </c>
      <c r="G10" s="483"/>
    </row>
    <row r="11" spans="1:7" ht="22.5" customHeight="1" thickBot="1" x14ac:dyDescent="0.4">
      <c r="A11" s="160" t="s">
        <v>255</v>
      </c>
      <c r="B11" s="234" t="s">
        <v>251</v>
      </c>
      <c r="C11" s="253">
        <f>VLOOKUP(ship_type,sqft_tbl,5,FALSE)</f>
        <v>1370</v>
      </c>
      <c r="D11" s="250" t="b">
        <v>0</v>
      </c>
      <c r="E11" s="81">
        <v>10</v>
      </c>
      <c r="F11" s="184">
        <f t="shared" si="0"/>
        <v>0</v>
      </c>
      <c r="G11" s="483"/>
    </row>
    <row r="12" spans="1:7" ht="15.5" thickTop="1" thickBot="1" x14ac:dyDescent="0.4">
      <c r="A12" s="388"/>
      <c r="B12" s="388"/>
      <c r="C12" s="388"/>
      <c r="D12" s="388"/>
      <c r="F12" s="1"/>
      <c r="G12" s="488"/>
    </row>
    <row r="13" spans="1:7" ht="28.5" customHeight="1" thickBot="1" x14ac:dyDescent="0.4">
      <c r="A13" s="181"/>
      <c r="B13" s="597" t="s">
        <v>29</v>
      </c>
      <c r="C13" s="598"/>
      <c r="D13" s="252">
        <f>F13/E13</f>
        <v>0</v>
      </c>
      <c r="E13" s="184">
        <f>SUM(E8:E12)</f>
        <v>31</v>
      </c>
      <c r="F13" s="184">
        <f>SUM(F8:F12)</f>
        <v>0</v>
      </c>
    </row>
    <row r="14" spans="1:7" ht="15.5" x14ac:dyDescent="0.35">
      <c r="A14" s="181"/>
      <c r="B14" s="190"/>
      <c r="C14" s="190"/>
      <c r="D14" s="190"/>
      <c r="E14"/>
    </row>
    <row r="15" spans="1:7" ht="16" thickBot="1" x14ac:dyDescent="0.4">
      <c r="A15" s="181"/>
      <c r="E15"/>
    </row>
    <row r="16" spans="1:7" ht="93.75" customHeight="1" thickBot="1" x14ac:dyDescent="0.4">
      <c r="A16" s="181"/>
      <c r="B16" s="593" t="s">
        <v>46</v>
      </c>
      <c r="C16" s="594"/>
      <c r="E16"/>
    </row>
  </sheetData>
  <mergeCells count="5">
    <mergeCell ref="B16:C16"/>
    <mergeCell ref="A4:C4"/>
    <mergeCell ref="A5:C5"/>
    <mergeCell ref="B7:C7"/>
    <mergeCell ref="B13:C13"/>
  </mergeCells>
  <phoneticPr fontId="16" type="noConversion"/>
  <pageMargins left="0.7" right="0.7" top="0.75" bottom="0.75" header="0.3" footer="0.3"/>
  <pageSetup scale="54" orientation="portrait" r:id="rId1"/>
  <headerFooter>
    <oddHeader>&amp;L2.1 Square Footage</oddHeader>
    <oddFooter>&amp;C&amp;A&amp;RPage &amp;P</oddFooter>
  </headerFooter>
  <ignoredErrors>
    <ignoredError sqref="C8:C1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39"/>
  <sheetViews>
    <sheetView zoomScaleNormal="100" zoomScaleSheetLayoutView="87" workbookViewId="0">
      <selection activeCell="G6" sqref="G6:G31"/>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199" customWidth="1"/>
    <col min="6" max="6" width="5.54296875" style="25" hidden="1" customWidth="1"/>
    <col min="7" max="7" width="30.7265625" style="39" customWidth="1"/>
  </cols>
  <sheetData>
    <row r="1" spans="1:8" s="20" customFormat="1" x14ac:dyDescent="0.35">
      <c r="A1" s="57" t="s">
        <v>144</v>
      </c>
      <c r="B1" s="16"/>
      <c r="C1" s="12"/>
      <c r="D1" s="245"/>
      <c r="G1" s="371" t="s">
        <v>414</v>
      </c>
    </row>
    <row r="2" spans="1:8" s="20" customFormat="1" x14ac:dyDescent="0.35">
      <c r="A2" s="12"/>
      <c r="B2" s="16"/>
      <c r="C2" s="12"/>
      <c r="D2" s="245"/>
      <c r="G2" s="372" t="str">
        <f>VLOOKUP(shiptypenum,shiptbl,2,FALSE)</f>
        <v>LSD</v>
      </c>
    </row>
    <row r="3" spans="1:8" s="20" customFormat="1" ht="19.5" customHeight="1" x14ac:dyDescent="0.35">
      <c r="A3" s="599" t="s">
        <v>44</v>
      </c>
      <c r="B3" s="599"/>
      <c r="C3" s="6"/>
      <c r="D3" s="245"/>
      <c r="E3" s="254"/>
      <c r="G3" s="182"/>
    </row>
    <row r="4" spans="1:8" s="20" customFormat="1" ht="33.75" customHeight="1" x14ac:dyDescent="0.35">
      <c r="A4" s="585" t="s">
        <v>483</v>
      </c>
      <c r="B4" s="585"/>
      <c r="C4" s="585"/>
      <c r="D4" s="245"/>
      <c r="E4" s="254"/>
      <c r="G4" s="182"/>
    </row>
    <row r="5" spans="1:8" s="20" customFormat="1" ht="33.75" customHeight="1" thickBot="1" x14ac:dyDescent="0.4">
      <c r="A5" s="585" t="s">
        <v>482</v>
      </c>
      <c r="B5" s="585"/>
      <c r="C5" s="585"/>
      <c r="D5" s="245"/>
      <c r="E5" s="254"/>
      <c r="G5" s="182"/>
    </row>
    <row r="6" spans="1:8" s="3" customFormat="1" ht="31.5" customHeight="1" thickTop="1" thickBot="1" x14ac:dyDescent="0.4">
      <c r="A6" s="146"/>
      <c r="B6" s="161"/>
      <c r="C6" s="75" t="s">
        <v>26</v>
      </c>
      <c r="D6" s="189" t="s">
        <v>24</v>
      </c>
      <c r="E6" s="189" t="s">
        <v>25</v>
      </c>
      <c r="F6" s="69"/>
      <c r="G6" s="317"/>
    </row>
    <row r="7" spans="1:8" s="3" customFormat="1" ht="16" thickTop="1" x14ac:dyDescent="0.35">
      <c r="A7" s="601" t="s">
        <v>129</v>
      </c>
      <c r="B7" s="602"/>
      <c r="C7" s="455"/>
      <c r="D7" s="26"/>
      <c r="G7" s="495"/>
    </row>
    <row r="8" spans="1:8" s="3" customFormat="1" ht="36" customHeight="1" x14ac:dyDescent="0.35">
      <c r="A8" s="64" t="s">
        <v>145</v>
      </c>
      <c r="B8" s="147" t="s">
        <v>130</v>
      </c>
      <c r="C8" s="70" t="b">
        <v>0</v>
      </c>
      <c r="D8" s="189">
        <v>10</v>
      </c>
      <c r="E8" s="189">
        <f>IF(C8,D8,0)</f>
        <v>0</v>
      </c>
      <c r="F8" s="68"/>
      <c r="G8" s="317"/>
      <c r="H8" s="49"/>
    </row>
    <row r="9" spans="1:8" s="3" customFormat="1" ht="36" customHeight="1" x14ac:dyDescent="0.35">
      <c r="A9" s="64" t="s">
        <v>146</v>
      </c>
      <c r="B9" s="59" t="s">
        <v>131</v>
      </c>
      <c r="C9" s="66" t="b">
        <v>0</v>
      </c>
      <c r="D9" s="189">
        <v>8</v>
      </c>
      <c r="E9" s="189">
        <f t="shared" ref="E9:E30" si="0">IF(C9,D9,0)</f>
        <v>0</v>
      </c>
      <c r="F9" s="68"/>
      <c r="G9" s="317"/>
    </row>
    <row r="10" spans="1:8" s="3" customFormat="1" ht="36" customHeight="1" x14ac:dyDescent="0.35">
      <c r="A10" s="64" t="s">
        <v>147</v>
      </c>
      <c r="B10" s="156" t="s">
        <v>262</v>
      </c>
      <c r="C10" s="66" t="b">
        <v>0</v>
      </c>
      <c r="D10" s="189">
        <v>1</v>
      </c>
      <c r="E10" s="189">
        <f t="shared" si="0"/>
        <v>0</v>
      </c>
      <c r="F10" s="68"/>
      <c r="G10" s="317"/>
    </row>
    <row r="11" spans="1:8" s="3" customFormat="1" ht="36" customHeight="1" x14ac:dyDescent="0.35">
      <c r="A11" s="64" t="s">
        <v>148</v>
      </c>
      <c r="B11" s="156" t="s">
        <v>132</v>
      </c>
      <c r="C11" s="66" t="b">
        <v>0</v>
      </c>
      <c r="D11" s="189">
        <v>5</v>
      </c>
      <c r="E11" s="189">
        <f t="shared" si="0"/>
        <v>0</v>
      </c>
      <c r="F11" s="68"/>
      <c r="G11" s="317"/>
    </row>
    <row r="12" spans="1:8" s="3" customFormat="1" ht="25.5" customHeight="1" x14ac:dyDescent="0.35">
      <c r="A12" s="603" t="s">
        <v>232</v>
      </c>
      <c r="B12" s="604"/>
      <c r="C12" s="455"/>
      <c r="D12" s="68"/>
      <c r="E12" s="189"/>
      <c r="F12" s="68"/>
      <c r="G12" s="317"/>
    </row>
    <row r="13" spans="1:8" s="3" customFormat="1" ht="36" customHeight="1" x14ac:dyDescent="0.35">
      <c r="A13" s="64" t="s">
        <v>149</v>
      </c>
      <c r="B13" s="45" t="s">
        <v>133</v>
      </c>
      <c r="C13" s="66" t="b">
        <v>0</v>
      </c>
      <c r="D13" s="189">
        <v>8</v>
      </c>
      <c r="E13" s="189">
        <f t="shared" si="0"/>
        <v>0</v>
      </c>
      <c r="F13" s="68"/>
      <c r="G13" s="317"/>
    </row>
    <row r="14" spans="1:8" s="3" customFormat="1" ht="36" customHeight="1" x14ac:dyDescent="0.35">
      <c r="A14" s="64" t="s">
        <v>150</v>
      </c>
      <c r="B14" s="59" t="s">
        <v>134</v>
      </c>
      <c r="C14" s="66" t="b">
        <v>0</v>
      </c>
      <c r="D14" s="189">
        <v>8</v>
      </c>
      <c r="E14" s="189">
        <f t="shared" si="0"/>
        <v>0</v>
      </c>
      <c r="F14" s="68"/>
      <c r="G14" s="317"/>
    </row>
    <row r="15" spans="1:8" s="3" customFormat="1" ht="36" customHeight="1" x14ac:dyDescent="0.35">
      <c r="A15" s="64" t="s">
        <v>151</v>
      </c>
      <c r="B15" s="59" t="s">
        <v>233</v>
      </c>
      <c r="C15" s="66" t="b">
        <v>0</v>
      </c>
      <c r="D15" s="189">
        <v>10</v>
      </c>
      <c r="E15" s="189">
        <f t="shared" si="0"/>
        <v>0</v>
      </c>
      <c r="F15" s="68"/>
      <c r="G15" s="317"/>
    </row>
    <row r="16" spans="1:8" s="3" customFormat="1" ht="27" customHeight="1" x14ac:dyDescent="0.35">
      <c r="A16" s="605" t="s">
        <v>136</v>
      </c>
      <c r="B16" s="606"/>
      <c r="C16" s="455"/>
      <c r="D16" s="68"/>
      <c r="E16" s="189"/>
      <c r="F16" s="68"/>
      <c r="G16" s="317"/>
    </row>
    <row r="17" spans="1:7" s="3" customFormat="1" ht="36" customHeight="1" x14ac:dyDescent="0.35">
      <c r="A17" s="64" t="s">
        <v>152</v>
      </c>
      <c r="B17" s="45" t="s">
        <v>135</v>
      </c>
      <c r="C17" s="66" t="b">
        <v>0</v>
      </c>
      <c r="D17" s="189">
        <v>8</v>
      </c>
      <c r="E17" s="189">
        <f t="shared" si="0"/>
        <v>0</v>
      </c>
      <c r="F17" s="68"/>
      <c r="G17" s="317"/>
    </row>
    <row r="18" spans="1:7" s="3" customFormat="1" ht="36" customHeight="1" x14ac:dyDescent="0.35">
      <c r="A18" s="64" t="s">
        <v>153</v>
      </c>
      <c r="B18" s="59" t="s">
        <v>134</v>
      </c>
      <c r="C18" s="66" t="b">
        <v>0</v>
      </c>
      <c r="D18" s="189">
        <v>8</v>
      </c>
      <c r="E18" s="189">
        <f t="shared" si="0"/>
        <v>0</v>
      </c>
      <c r="F18" s="68"/>
      <c r="G18" s="317"/>
    </row>
    <row r="19" spans="1:7" s="3" customFormat="1" ht="36" customHeight="1" x14ac:dyDescent="0.35">
      <c r="A19" s="64" t="s">
        <v>154</v>
      </c>
      <c r="B19" s="59" t="s">
        <v>233</v>
      </c>
      <c r="C19" s="66" t="b">
        <v>0</v>
      </c>
      <c r="D19" s="189">
        <v>10</v>
      </c>
      <c r="E19" s="189">
        <f t="shared" si="0"/>
        <v>0</v>
      </c>
      <c r="F19" s="68"/>
      <c r="G19" s="317"/>
    </row>
    <row r="20" spans="1:7" s="3" customFormat="1" ht="22.5" customHeight="1" x14ac:dyDescent="0.35">
      <c r="A20" s="605" t="s">
        <v>140</v>
      </c>
      <c r="B20" s="606"/>
      <c r="C20" s="456"/>
      <c r="D20" s="68"/>
      <c r="E20" s="189"/>
      <c r="F20" s="68"/>
      <c r="G20" s="317"/>
    </row>
    <row r="21" spans="1:7" s="3" customFormat="1" ht="36" customHeight="1" x14ac:dyDescent="0.35">
      <c r="A21" s="64" t="s">
        <v>155</v>
      </c>
      <c r="B21" s="156" t="s">
        <v>137</v>
      </c>
      <c r="C21" s="66" t="b">
        <v>0</v>
      </c>
      <c r="D21" s="189">
        <v>10</v>
      </c>
      <c r="E21" s="189">
        <f t="shared" si="0"/>
        <v>0</v>
      </c>
      <c r="F21" s="68"/>
      <c r="G21" s="317"/>
    </row>
    <row r="22" spans="1:7" s="159" customFormat="1" ht="36" customHeight="1" x14ac:dyDescent="0.35">
      <c r="A22" s="64" t="s">
        <v>156</v>
      </c>
      <c r="B22" s="157" t="s">
        <v>234</v>
      </c>
      <c r="C22" s="66" t="b">
        <v>0</v>
      </c>
      <c r="D22" s="189">
        <v>2</v>
      </c>
      <c r="E22" s="189">
        <f t="shared" si="0"/>
        <v>0</v>
      </c>
      <c r="F22" s="158"/>
      <c r="G22" s="317"/>
    </row>
    <row r="23" spans="1:7" s="3" customFormat="1" ht="36" customHeight="1" x14ac:dyDescent="0.35">
      <c r="A23" s="64" t="s">
        <v>157</v>
      </c>
      <c r="B23" s="156" t="s">
        <v>235</v>
      </c>
      <c r="C23" s="66" t="b">
        <v>0</v>
      </c>
      <c r="D23" s="189">
        <v>7</v>
      </c>
      <c r="E23" s="189">
        <f t="shared" si="0"/>
        <v>0</v>
      </c>
      <c r="F23" s="68"/>
      <c r="G23" s="317"/>
    </row>
    <row r="24" spans="1:7" s="3" customFormat="1" ht="36" customHeight="1" x14ac:dyDescent="0.35">
      <c r="A24" s="64" t="s">
        <v>158</v>
      </c>
      <c r="B24" s="156" t="s">
        <v>138</v>
      </c>
      <c r="C24" s="66" t="b">
        <v>0</v>
      </c>
      <c r="D24" s="189">
        <v>3</v>
      </c>
      <c r="E24" s="189">
        <f t="shared" si="0"/>
        <v>0</v>
      </c>
      <c r="F24" s="68"/>
      <c r="G24" s="317"/>
    </row>
    <row r="25" spans="1:7" s="3" customFormat="1" ht="36" customHeight="1" x14ac:dyDescent="0.35">
      <c r="A25" s="64" t="s">
        <v>159</v>
      </c>
      <c r="B25" s="45" t="s">
        <v>139</v>
      </c>
      <c r="C25" s="66" t="b">
        <v>0</v>
      </c>
      <c r="D25" s="189">
        <v>8</v>
      </c>
      <c r="E25" s="189">
        <f t="shared" si="0"/>
        <v>0</v>
      </c>
      <c r="F25" s="68"/>
      <c r="G25" s="317"/>
    </row>
    <row r="26" spans="1:7" s="3" customFormat="1" ht="36" customHeight="1" x14ac:dyDescent="0.35">
      <c r="A26" s="64" t="s">
        <v>160</v>
      </c>
      <c r="B26" s="45" t="s">
        <v>141</v>
      </c>
      <c r="C26" s="66" t="b">
        <v>0</v>
      </c>
      <c r="D26" s="189">
        <v>1</v>
      </c>
      <c r="E26" s="189">
        <f t="shared" si="0"/>
        <v>0</v>
      </c>
      <c r="F26" s="68"/>
      <c r="G26" s="317"/>
    </row>
    <row r="27" spans="1:7" s="3" customFormat="1" ht="36" customHeight="1" x14ac:dyDescent="0.35">
      <c r="A27" s="64" t="s">
        <v>161</v>
      </c>
      <c r="B27" s="226" t="s">
        <v>263</v>
      </c>
      <c r="C27" s="66" t="b">
        <v>0</v>
      </c>
      <c r="D27" s="189">
        <v>10</v>
      </c>
      <c r="E27" s="189">
        <f t="shared" si="0"/>
        <v>0</v>
      </c>
      <c r="F27" s="68"/>
      <c r="G27" s="317"/>
    </row>
    <row r="28" spans="1:7" s="3" customFormat="1" ht="49.5" customHeight="1" x14ac:dyDescent="0.35">
      <c r="A28" s="64" t="s">
        <v>162</v>
      </c>
      <c r="B28" s="45" t="s">
        <v>142</v>
      </c>
      <c r="C28" s="66" t="b">
        <v>0</v>
      </c>
      <c r="D28" s="189">
        <v>3</v>
      </c>
      <c r="E28" s="189">
        <f t="shared" si="0"/>
        <v>0</v>
      </c>
      <c r="F28" s="68"/>
      <c r="G28" s="317"/>
    </row>
    <row r="29" spans="1:7" s="3" customFormat="1" ht="36" customHeight="1" x14ac:dyDescent="0.35">
      <c r="A29" s="64" t="s">
        <v>163</v>
      </c>
      <c r="B29" s="45" t="s">
        <v>143</v>
      </c>
      <c r="C29" s="66" t="b">
        <v>0</v>
      </c>
      <c r="D29" s="189">
        <v>5</v>
      </c>
      <c r="E29" s="189">
        <f t="shared" si="0"/>
        <v>0</v>
      </c>
      <c r="F29" s="68"/>
      <c r="G29" s="317"/>
    </row>
    <row r="30" spans="1:7" s="3" customFormat="1" ht="36" customHeight="1" thickBot="1" x14ac:dyDescent="0.4">
      <c r="A30" s="64" t="s">
        <v>164</v>
      </c>
      <c r="B30" s="207" t="s">
        <v>236</v>
      </c>
      <c r="C30" s="66" t="b">
        <v>0</v>
      </c>
      <c r="D30" s="189">
        <v>8</v>
      </c>
      <c r="E30" s="189">
        <f t="shared" si="0"/>
        <v>0</v>
      </c>
      <c r="F30" s="68"/>
      <c r="G30" s="317"/>
    </row>
    <row r="31" spans="1:7" s="3" customFormat="1" ht="16.5" thickTop="1" thickBot="1" x14ac:dyDescent="0.4">
      <c r="A31" s="27"/>
      <c r="B31" s="389"/>
      <c r="C31" s="8"/>
      <c r="D31" s="189"/>
      <c r="E31" s="40"/>
      <c r="F31" s="4"/>
      <c r="G31" s="487"/>
    </row>
    <row r="32" spans="1:7" s="3" customFormat="1" ht="15.75" customHeight="1" thickBot="1" x14ac:dyDescent="0.4">
      <c r="A32" s="10"/>
      <c r="B32" s="65" t="s">
        <v>29</v>
      </c>
      <c r="C32" s="255">
        <f>E32/D32</f>
        <v>0</v>
      </c>
      <c r="D32" s="189">
        <f>SUM(D8:D31)</f>
        <v>133</v>
      </c>
      <c r="E32" s="189">
        <f>SUM(E8:E31)</f>
        <v>0</v>
      </c>
      <c r="F32" s="4"/>
      <c r="G32" s="487"/>
    </row>
    <row r="33" spans="1:7" s="3" customFormat="1" ht="16" thickBot="1" x14ac:dyDescent="0.4">
      <c r="B33" s="5"/>
      <c r="C33" s="5"/>
      <c r="D33" s="68"/>
      <c r="E33" s="40"/>
      <c r="F33" s="4"/>
      <c r="G33" s="487"/>
    </row>
    <row r="34" spans="1:7" s="3" customFormat="1" ht="117.75" customHeight="1" thickBot="1" x14ac:dyDescent="0.4">
      <c r="A34" s="588" t="s">
        <v>46</v>
      </c>
      <c r="B34" s="600"/>
      <c r="C34" s="589"/>
      <c r="D34" s="68"/>
      <c r="E34" s="40"/>
      <c r="F34" s="4"/>
      <c r="G34" s="487"/>
    </row>
    <row r="35" spans="1:7" x14ac:dyDescent="0.35">
      <c r="D35" s="67"/>
      <c r="E35" s="184"/>
      <c r="F35" s="67"/>
    </row>
    <row r="36" spans="1:7" x14ac:dyDescent="0.35">
      <c r="D36" s="67"/>
      <c r="E36" s="184"/>
      <c r="F36" s="67"/>
    </row>
    <row r="37" spans="1:7" x14ac:dyDescent="0.35">
      <c r="D37" s="67"/>
      <c r="E37" s="184"/>
      <c r="F37" s="67"/>
    </row>
    <row r="38" spans="1:7" x14ac:dyDescent="0.35">
      <c r="D38" s="67"/>
      <c r="E38" s="184"/>
      <c r="F38" s="67"/>
    </row>
    <row r="39" spans="1:7" x14ac:dyDescent="0.35">
      <c r="D39" s="67"/>
      <c r="E39" s="184"/>
      <c r="F39" s="67"/>
    </row>
  </sheetData>
  <mergeCells count="8">
    <mergeCell ref="A3:B3"/>
    <mergeCell ref="A4:C4"/>
    <mergeCell ref="A34:C34"/>
    <mergeCell ref="A7:B7"/>
    <mergeCell ref="A12:B12"/>
    <mergeCell ref="A16:B16"/>
    <mergeCell ref="A20:B20"/>
    <mergeCell ref="A5:C5"/>
  </mergeCells>
  <phoneticPr fontId="16"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71"/>
  <sheetViews>
    <sheetView zoomScaleNormal="100" zoomScaleSheetLayoutView="100" workbookViewId="0">
      <selection activeCell="G6" sqref="G6:G65"/>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84" customWidth="1"/>
    <col min="7" max="7" width="30.7265625" style="465" customWidth="1"/>
    <col min="8" max="8" width="32.7265625" customWidth="1"/>
    <col min="9" max="10" width="0" hidden="1" customWidth="1"/>
  </cols>
  <sheetData>
    <row r="1" spans="1:10" x14ac:dyDescent="0.35">
      <c r="A1" s="162" t="s">
        <v>170</v>
      </c>
      <c r="B1" s="163"/>
      <c r="C1" s="164"/>
      <c r="D1" s="162"/>
      <c r="E1" s="165"/>
      <c r="G1" s="463" t="s">
        <v>414</v>
      </c>
    </row>
    <row r="2" spans="1:10" x14ac:dyDescent="0.35">
      <c r="A2" s="162"/>
      <c r="B2" s="163"/>
      <c r="C2" s="164"/>
      <c r="D2" s="162"/>
      <c r="E2" s="165"/>
      <c r="G2" s="464" t="str">
        <f>VLOOKUP(shiptypenum,shiptbl,2,FALSE)</f>
        <v>LSD</v>
      </c>
    </row>
    <row r="3" spans="1:10" x14ac:dyDescent="0.35">
      <c r="A3" s="607" t="s">
        <v>44</v>
      </c>
      <c r="B3" s="607"/>
      <c r="C3" s="166"/>
      <c r="D3" s="162"/>
      <c r="E3" s="165"/>
    </row>
    <row r="4" spans="1:10" s="20" customFormat="1" ht="33.75" customHeight="1" x14ac:dyDescent="0.35">
      <c r="A4" s="585" t="s">
        <v>483</v>
      </c>
      <c r="B4" s="585"/>
      <c r="C4" s="585"/>
      <c r="D4" s="272"/>
      <c r="E4" s="254"/>
      <c r="G4" s="182"/>
    </row>
    <row r="5" spans="1:10" s="20" customFormat="1" ht="33.75" customHeight="1" thickBot="1" x14ac:dyDescent="0.4">
      <c r="A5" s="585" t="s">
        <v>482</v>
      </c>
      <c r="B5" s="585"/>
      <c r="C5" s="585"/>
      <c r="D5" s="245"/>
      <c r="E5" s="254"/>
      <c r="G5" s="182"/>
    </row>
    <row r="6" spans="1:10" ht="87" customHeight="1" thickTop="1" thickBot="1" x14ac:dyDescent="0.4">
      <c r="A6" s="257" t="s">
        <v>276</v>
      </c>
      <c r="B6" s="610" t="s">
        <v>279</v>
      </c>
      <c r="C6" s="611"/>
      <c r="D6" s="462" t="s">
        <v>26</v>
      </c>
      <c r="E6" s="189" t="s">
        <v>24</v>
      </c>
      <c r="F6" s="189" t="s">
        <v>25</v>
      </c>
      <c r="G6" s="483"/>
    </row>
    <row r="7" spans="1:10" ht="79.5" customHeight="1" thickTop="1" thickBot="1" x14ac:dyDescent="0.4">
      <c r="A7" s="259"/>
      <c r="B7" s="595" t="s">
        <v>265</v>
      </c>
      <c r="C7" s="596"/>
      <c r="D7" s="461" t="s">
        <v>269</v>
      </c>
      <c r="E7" s="165"/>
      <c r="G7" s="483"/>
    </row>
    <row r="8" spans="1:10" ht="15.75" customHeight="1" x14ac:dyDescent="0.35">
      <c r="A8" s="160" t="s">
        <v>21</v>
      </c>
      <c r="B8" s="234" t="s">
        <v>416</v>
      </c>
      <c r="C8" s="360">
        <f>VLOOKUP(ship_type,recbestunderway,2,FALSE)</f>
        <v>20</v>
      </c>
      <c r="D8" s="265" t="b">
        <v>0</v>
      </c>
      <c r="E8" s="81">
        <v>10</v>
      </c>
      <c r="F8" s="184">
        <f>IF(D8,IF(C8="-",0,E8),0)</f>
        <v>0</v>
      </c>
      <c r="G8" s="483"/>
      <c r="I8">
        <f>IF(D8,1,0)</f>
        <v>0</v>
      </c>
    </row>
    <row r="9" spans="1:10" ht="15.75" customHeight="1" x14ac:dyDescent="0.35">
      <c r="A9" s="160"/>
      <c r="B9" s="58"/>
      <c r="C9" s="360">
        <f>VLOOKUP(ship_type,recbetterunderway,2,FALSE)</f>
        <v>16</v>
      </c>
      <c r="D9" s="273" t="b">
        <v>0</v>
      </c>
      <c r="E9" s="81">
        <f>0.85*E8</f>
        <v>8.5</v>
      </c>
      <c r="F9" s="184">
        <f t="shared" ref="F9:F19" si="0">IF(D9,IF(C9="-",0,E9),0)</f>
        <v>0</v>
      </c>
      <c r="G9" s="483"/>
      <c r="H9" t="str">
        <f>IF(J10&gt;1,"Entry error, select one answer","")</f>
        <v/>
      </c>
      <c r="I9">
        <f t="shared" ref="I9:I19" si="1">IF(D9,1,0)</f>
        <v>0</v>
      </c>
    </row>
    <row r="10" spans="1:10" ht="15.75" customHeight="1" x14ac:dyDescent="0.35">
      <c r="A10" s="160"/>
      <c r="B10" s="256"/>
      <c r="C10" s="361">
        <f>VLOOKUP(ship_type,recgoodunderway,2,FALSE)</f>
        <v>12</v>
      </c>
      <c r="D10" s="265" t="b">
        <v>0</v>
      </c>
      <c r="E10" s="81">
        <f>E8*0.75</f>
        <v>7.5</v>
      </c>
      <c r="F10" s="184">
        <f t="shared" si="0"/>
        <v>0</v>
      </c>
      <c r="G10" s="483"/>
      <c r="I10">
        <f t="shared" si="1"/>
        <v>0</v>
      </c>
      <c r="J10">
        <f>SUM(I8:I10)</f>
        <v>0</v>
      </c>
    </row>
    <row r="11" spans="1:10" ht="15.75" customHeight="1" x14ac:dyDescent="0.35">
      <c r="A11" s="160" t="s">
        <v>22</v>
      </c>
      <c r="B11" s="195" t="s">
        <v>165</v>
      </c>
      <c r="C11" s="362">
        <f>VLOOKUP(ship_type,recbestunderway,3,FALSE)</f>
        <v>3</v>
      </c>
      <c r="D11" s="265" t="b">
        <v>0</v>
      </c>
      <c r="E11" s="81">
        <v>10</v>
      </c>
      <c r="F11" s="184">
        <f t="shared" si="0"/>
        <v>0</v>
      </c>
      <c r="G11" s="483"/>
      <c r="I11">
        <f>IF(D11,1,0)</f>
        <v>0</v>
      </c>
    </row>
    <row r="12" spans="1:10" ht="15.75" customHeight="1" x14ac:dyDescent="0.35">
      <c r="A12" s="169"/>
      <c r="B12" s="170"/>
      <c r="C12" s="362">
        <f>VLOOKUP(ship_type,recbetterunderway,3,FALSE)</f>
        <v>2</v>
      </c>
      <c r="D12" s="265" t="b">
        <v>0</v>
      </c>
      <c r="E12" s="81">
        <f>0.85*E11</f>
        <v>8.5</v>
      </c>
      <c r="F12" s="184">
        <f t="shared" si="0"/>
        <v>0</v>
      </c>
      <c r="G12" s="483"/>
      <c r="H12" t="str">
        <f>IF(J13&gt;1,"Entry error, select one answer","")</f>
        <v/>
      </c>
      <c r="I12">
        <f t="shared" si="1"/>
        <v>0</v>
      </c>
    </row>
    <row r="13" spans="1:10" ht="15.75" customHeight="1" x14ac:dyDescent="0.35">
      <c r="A13" s="169"/>
      <c r="B13" s="246"/>
      <c r="C13" s="361">
        <f>VLOOKUP(ship_type,recgoodunderway,3,FALSE)</f>
        <v>1</v>
      </c>
      <c r="D13" s="265" t="b">
        <v>0</v>
      </c>
      <c r="E13" s="81">
        <f>E11*0.75</f>
        <v>7.5</v>
      </c>
      <c r="F13" s="184">
        <f t="shared" si="0"/>
        <v>0</v>
      </c>
      <c r="G13" s="483"/>
      <c r="I13">
        <f t="shared" si="1"/>
        <v>0</v>
      </c>
      <c r="J13">
        <f>SUM(I11:I13)</f>
        <v>0</v>
      </c>
    </row>
    <row r="14" spans="1:10" ht="15.75" customHeight="1" x14ac:dyDescent="0.35">
      <c r="A14" s="160" t="s">
        <v>23</v>
      </c>
      <c r="B14" s="195" t="s">
        <v>166</v>
      </c>
      <c r="C14" s="362">
        <f>VLOOKUP(ship_type,recbestunderway,4,FALSE)</f>
        <v>1</v>
      </c>
      <c r="D14" s="265" t="b">
        <v>0</v>
      </c>
      <c r="E14" s="81">
        <v>10</v>
      </c>
      <c r="F14" s="184">
        <f t="shared" si="0"/>
        <v>0</v>
      </c>
      <c r="G14" s="483"/>
      <c r="I14">
        <f>IF(D14,1,0)</f>
        <v>0</v>
      </c>
    </row>
    <row r="15" spans="1:10" ht="15.75" customHeight="1" x14ac:dyDescent="0.35">
      <c r="A15" s="267"/>
      <c r="B15" s="170"/>
      <c r="C15" s="362" t="str">
        <f>VLOOKUP(ship_type,recbetterunderway,4,FALSE)</f>
        <v>-</v>
      </c>
      <c r="D15" s="265" t="b">
        <v>0</v>
      </c>
      <c r="E15" s="81">
        <f>0.85*E14</f>
        <v>8.5</v>
      </c>
      <c r="F15" s="184">
        <f t="shared" si="0"/>
        <v>0</v>
      </c>
      <c r="G15" s="483"/>
      <c r="H15" t="str">
        <f>IF(J16&gt;1,"Entry error, select one answer","")</f>
        <v/>
      </c>
      <c r="I15">
        <f t="shared" si="1"/>
        <v>0</v>
      </c>
    </row>
    <row r="16" spans="1:10" ht="15.75" customHeight="1" x14ac:dyDescent="0.35">
      <c r="A16" s="267"/>
      <c r="B16" s="246"/>
      <c r="C16" s="361" t="str">
        <f>VLOOKUP(ship_type,recgoodunderway,4,FALSE)</f>
        <v>-</v>
      </c>
      <c r="D16" s="265" t="b">
        <v>0</v>
      </c>
      <c r="E16" s="81">
        <f>E14*0.75</f>
        <v>7.5</v>
      </c>
      <c r="F16" s="184">
        <f t="shared" si="0"/>
        <v>0</v>
      </c>
      <c r="G16" s="483"/>
      <c r="I16">
        <f t="shared" si="1"/>
        <v>0</v>
      </c>
      <c r="J16">
        <f>SUM(I14:I16)</f>
        <v>0</v>
      </c>
    </row>
    <row r="17" spans="1:18" ht="15.75" customHeight="1" x14ac:dyDescent="0.35">
      <c r="A17" s="160" t="s">
        <v>58</v>
      </c>
      <c r="B17" s="195" t="s">
        <v>167</v>
      </c>
      <c r="C17" s="362">
        <f>VLOOKUP(ship_type,recbestunderway,5,FALSE)</f>
        <v>6</v>
      </c>
      <c r="D17" s="265" t="b">
        <v>0</v>
      </c>
      <c r="E17" s="81">
        <v>10</v>
      </c>
      <c r="F17" s="184">
        <f t="shared" si="0"/>
        <v>0</v>
      </c>
      <c r="G17" s="483"/>
      <c r="I17">
        <f>IF(D17,1,0)</f>
        <v>0</v>
      </c>
    </row>
    <row r="18" spans="1:18" ht="15.75" customHeight="1" x14ac:dyDescent="0.35">
      <c r="A18" s="267"/>
      <c r="B18" s="170"/>
      <c r="C18" s="362">
        <f>VLOOKUP(ship_type,recbetterunderway,5,FALSE)</f>
        <v>5</v>
      </c>
      <c r="D18" s="265" t="b">
        <v>0</v>
      </c>
      <c r="E18" s="81">
        <f>0.85*E17</f>
        <v>8.5</v>
      </c>
      <c r="F18" s="184">
        <f t="shared" si="0"/>
        <v>0</v>
      </c>
      <c r="G18" s="483"/>
      <c r="H18" t="str">
        <f>IF(J19&gt;1,"Entry error, select one answer","")</f>
        <v/>
      </c>
      <c r="I18">
        <f t="shared" si="1"/>
        <v>0</v>
      </c>
    </row>
    <row r="19" spans="1:18" ht="15.75" customHeight="1" x14ac:dyDescent="0.35">
      <c r="A19" s="267"/>
      <c r="B19" s="246"/>
      <c r="C19" s="361">
        <f>VLOOKUP(ship_type,recgoodunderway,5,FALSE)</f>
        <v>4</v>
      </c>
      <c r="D19" s="265" t="b">
        <v>0</v>
      </c>
      <c r="E19" s="81">
        <f>E17*0.75</f>
        <v>7.5</v>
      </c>
      <c r="F19" s="184">
        <f t="shared" si="0"/>
        <v>0</v>
      </c>
      <c r="G19" s="483"/>
      <c r="I19">
        <f t="shared" si="1"/>
        <v>0</v>
      </c>
      <c r="J19">
        <f>SUM(I17:I19)</f>
        <v>0</v>
      </c>
    </row>
    <row r="20" spans="1:18" ht="35.25" customHeight="1" x14ac:dyDescent="0.35">
      <c r="A20" s="160" t="s">
        <v>59</v>
      </c>
      <c r="B20" s="608" t="s">
        <v>264</v>
      </c>
      <c r="C20" s="609"/>
      <c r="D20" s="264" t="b">
        <v>0</v>
      </c>
      <c r="E20" s="81">
        <v>8</v>
      </c>
      <c r="F20" s="184">
        <f t="shared" ref="F20:F21" si="2">IF(D20,E20,0)</f>
        <v>0</v>
      </c>
      <c r="G20" s="483"/>
      <c r="H20" s="174"/>
      <c r="I20" s="174"/>
      <c r="J20" s="174"/>
      <c r="K20" s="174"/>
      <c r="L20" s="174"/>
      <c r="M20" s="174"/>
      <c r="N20" s="174"/>
      <c r="O20" s="174"/>
      <c r="P20" s="174"/>
      <c r="Q20" s="174"/>
      <c r="R20" s="174"/>
    </row>
    <row r="21" spans="1:18" ht="34.5" customHeight="1" thickBot="1" x14ac:dyDescent="0.4">
      <c r="A21" s="160" t="s">
        <v>60</v>
      </c>
      <c r="B21" s="608" t="s">
        <v>258</v>
      </c>
      <c r="C21" s="609"/>
      <c r="D21" s="449" t="b">
        <v>0</v>
      </c>
      <c r="E21" s="81">
        <v>8</v>
      </c>
      <c r="F21" s="184">
        <f t="shared" si="2"/>
        <v>0</v>
      </c>
      <c r="G21" s="483"/>
      <c r="H21" s="174"/>
      <c r="I21" s="174"/>
      <c r="J21" s="174"/>
      <c r="K21" s="174"/>
      <c r="L21" s="174"/>
      <c r="M21" s="174"/>
      <c r="N21" s="174"/>
      <c r="O21" s="174"/>
      <c r="P21" s="174"/>
      <c r="Q21" s="174"/>
      <c r="R21" s="174"/>
    </row>
    <row r="22" spans="1:18" ht="17.25" customHeight="1" thickTop="1" thickBot="1" x14ac:dyDescent="0.4">
      <c r="A22" s="390"/>
      <c r="B22" s="391"/>
      <c r="C22" s="391"/>
      <c r="D22" s="392"/>
      <c r="E22" s="81"/>
      <c r="G22" s="329"/>
      <c r="H22" s="174"/>
      <c r="I22" s="229"/>
      <c r="J22" s="229"/>
      <c r="K22" s="174"/>
      <c r="L22" s="174"/>
      <c r="M22" s="174"/>
      <c r="N22" s="174"/>
      <c r="O22" s="174"/>
      <c r="P22" s="174"/>
      <c r="Q22" s="174"/>
      <c r="R22" s="174"/>
    </row>
    <row r="23" spans="1:18" ht="22.5" customHeight="1" thickBot="1" x14ac:dyDescent="0.4">
      <c r="A23" s="160"/>
      <c r="B23" s="613" t="s">
        <v>277</v>
      </c>
      <c r="C23" s="613"/>
      <c r="D23" s="252">
        <f>F23/E23</f>
        <v>0</v>
      </c>
      <c r="E23" s="25">
        <f>IF(shiptypenum&lt;5,SUM(#REF!+#REF!+#REF!+#REF!+E20+E17+E14+E11+E8),IF(shiptypenum=8,SUM(#REF!+#REF!+#REF!+#REF!+E20+E17+E14+E11+E8),SUM(E21,E20,E17,E14,E11,E8)))</f>
        <v>56</v>
      </c>
      <c r="F23" s="184">
        <f>SUM(F8:F21)</f>
        <v>0</v>
      </c>
      <c r="G23" s="329"/>
      <c r="H23" s="174"/>
      <c r="I23" s="229"/>
      <c r="J23" s="229"/>
      <c r="K23" s="174"/>
      <c r="L23" s="174"/>
      <c r="M23" s="174"/>
      <c r="N23" s="174"/>
      <c r="O23" s="174"/>
      <c r="P23" s="174"/>
      <c r="Q23" s="174"/>
      <c r="R23" s="174"/>
    </row>
    <row r="24" spans="1:18" ht="22.5" customHeight="1" thickBot="1" x14ac:dyDescent="0.4">
      <c r="A24" s="160"/>
      <c r="B24" s="231"/>
      <c r="C24" s="231"/>
      <c r="D24" s="261"/>
      <c r="E24" s="262"/>
      <c r="G24" s="329"/>
      <c r="H24" s="174"/>
      <c r="I24" s="229"/>
      <c r="J24" s="229"/>
      <c r="K24" s="174"/>
      <c r="L24" s="174"/>
      <c r="M24" s="174"/>
      <c r="N24" s="174"/>
      <c r="O24" s="174"/>
      <c r="P24" s="174"/>
      <c r="Q24" s="174"/>
      <c r="R24" s="174"/>
    </row>
    <row r="25" spans="1:18" ht="87" customHeight="1" thickTop="1" thickBot="1" x14ac:dyDescent="0.4">
      <c r="A25" s="258" t="s">
        <v>172</v>
      </c>
      <c r="B25" s="610" t="s">
        <v>278</v>
      </c>
      <c r="C25" s="611"/>
      <c r="D25" s="462" t="s">
        <v>26</v>
      </c>
      <c r="E25" s="189" t="s">
        <v>24</v>
      </c>
      <c r="F25" s="189" t="s">
        <v>25</v>
      </c>
      <c r="G25" s="483"/>
    </row>
    <row r="26" spans="1:18" ht="82.5" customHeight="1" thickTop="1" thickBot="1" x14ac:dyDescent="0.4">
      <c r="A26" s="260"/>
      <c r="B26" s="595" t="s">
        <v>169</v>
      </c>
      <c r="C26" s="596"/>
      <c r="D26" s="461" t="s">
        <v>269</v>
      </c>
      <c r="E26" s="165"/>
      <c r="G26" s="466"/>
    </row>
    <row r="27" spans="1:18" x14ac:dyDescent="0.35">
      <c r="A27" s="160" t="s">
        <v>266</v>
      </c>
      <c r="B27" s="234" t="s">
        <v>416</v>
      </c>
      <c r="C27" s="363">
        <f>VLOOKUP(ship_type,recbesthomeport,2,FALSE)</f>
        <v>2</v>
      </c>
      <c r="D27" s="265" t="b">
        <v>0</v>
      </c>
      <c r="E27" s="81">
        <v>10</v>
      </c>
      <c r="F27" s="184">
        <f>IF(D27,IF(C27="-",0,E27),0)</f>
        <v>0</v>
      </c>
      <c r="G27" s="483"/>
      <c r="I27">
        <f>IF(D27,1,0)</f>
        <v>0</v>
      </c>
    </row>
    <row r="28" spans="1:18" x14ac:dyDescent="0.35">
      <c r="A28" s="160"/>
      <c r="B28" s="58"/>
      <c r="C28" s="363">
        <f>VLOOKUP(ship_type,recbetterhomeport,2,FALSE)</f>
        <v>1</v>
      </c>
      <c r="D28" s="265" t="b">
        <v>0</v>
      </c>
      <c r="E28" s="81">
        <f>0.85*E27</f>
        <v>8.5</v>
      </c>
      <c r="F28" s="184">
        <f t="shared" ref="F28:F41" si="3">IF(D28,IF(C28="-",0,E28),0)</f>
        <v>0</v>
      </c>
      <c r="G28" s="483"/>
      <c r="H28" t="str">
        <f>IF(J29&gt;1,"Entry error, select one answer","")</f>
        <v/>
      </c>
      <c r="I28">
        <f t="shared" ref="I28:I29" si="4">IF(D28,1,0)</f>
        <v>0</v>
      </c>
    </row>
    <row r="29" spans="1:18" x14ac:dyDescent="0.35">
      <c r="A29" s="160"/>
      <c r="B29" s="256"/>
      <c r="C29" s="364" t="str">
        <f>VLOOKUP(ship_type,recgoodhomeport,2,FALSE)</f>
        <v>-</v>
      </c>
      <c r="D29" s="265" t="b">
        <v>0</v>
      </c>
      <c r="E29" s="81">
        <f>E27*0.75</f>
        <v>7.5</v>
      </c>
      <c r="F29" s="184">
        <f t="shared" si="3"/>
        <v>0</v>
      </c>
      <c r="G29" s="483"/>
      <c r="I29">
        <f t="shared" si="4"/>
        <v>0</v>
      </c>
      <c r="J29">
        <f>SUM(I27:I29)</f>
        <v>0</v>
      </c>
    </row>
    <row r="30" spans="1:18" x14ac:dyDescent="0.35">
      <c r="A30" s="160" t="s">
        <v>267</v>
      </c>
      <c r="B30" s="195" t="s">
        <v>165</v>
      </c>
      <c r="C30" s="365">
        <f>VLOOKUP(ship_type,recbesthomeport,3,FALSE)</f>
        <v>3</v>
      </c>
      <c r="D30" s="265" t="b">
        <v>0</v>
      </c>
      <c r="E30" s="81">
        <v>10</v>
      </c>
      <c r="F30" s="184">
        <f t="shared" si="3"/>
        <v>0</v>
      </c>
      <c r="G30" s="483"/>
      <c r="I30">
        <f>IF(D30,1,0)</f>
        <v>0</v>
      </c>
    </row>
    <row r="31" spans="1:18" x14ac:dyDescent="0.35">
      <c r="A31" s="169"/>
      <c r="B31" s="170"/>
      <c r="C31" s="365">
        <f>VLOOKUP(ship_type,recbetterhomeport,3,FALSE)</f>
        <v>2</v>
      </c>
      <c r="D31" s="265" t="b">
        <v>0</v>
      </c>
      <c r="E31" s="81">
        <f>0.85*E30</f>
        <v>8.5</v>
      </c>
      <c r="F31" s="184">
        <f t="shared" si="3"/>
        <v>0</v>
      </c>
      <c r="G31" s="483"/>
      <c r="H31" t="str">
        <f>IF(J32&gt;1,"Entry error, select one answer","")</f>
        <v/>
      </c>
      <c r="I31">
        <f t="shared" ref="I31:I32" si="5">IF(D31,1,0)</f>
        <v>0</v>
      </c>
    </row>
    <row r="32" spans="1:18" x14ac:dyDescent="0.35">
      <c r="A32" s="169"/>
      <c r="B32" s="246"/>
      <c r="C32" s="364">
        <f>VLOOKUP(ship_type,recgoodhomeport,3,FALSE)</f>
        <v>1</v>
      </c>
      <c r="D32" s="265" t="b">
        <v>0</v>
      </c>
      <c r="E32" s="81">
        <f>E30*0.75</f>
        <v>7.5</v>
      </c>
      <c r="F32" s="184">
        <f t="shared" si="3"/>
        <v>0</v>
      </c>
      <c r="G32" s="483"/>
      <c r="I32">
        <f t="shared" si="5"/>
        <v>0</v>
      </c>
      <c r="J32">
        <f>SUM(I30:I32)</f>
        <v>0</v>
      </c>
    </row>
    <row r="33" spans="1:18" x14ac:dyDescent="0.35">
      <c r="A33" s="160" t="s">
        <v>268</v>
      </c>
      <c r="B33" s="195" t="s">
        <v>166</v>
      </c>
      <c r="C33" s="365">
        <f>VLOOKUP(ship_type,recbesthomeport,4,FALSE)</f>
        <v>1</v>
      </c>
      <c r="D33" s="265" t="b">
        <v>0</v>
      </c>
      <c r="E33" s="81">
        <v>10</v>
      </c>
      <c r="F33" s="184">
        <f t="shared" si="3"/>
        <v>0</v>
      </c>
      <c r="G33" s="483"/>
      <c r="I33">
        <f>IF(D33,1,0)</f>
        <v>0</v>
      </c>
    </row>
    <row r="34" spans="1:18" x14ac:dyDescent="0.35">
      <c r="A34" s="267"/>
      <c r="B34" s="170"/>
      <c r="C34" s="365" t="str">
        <f>VLOOKUP(ship_type,recbetterhomeport,4,FALSE)</f>
        <v>-</v>
      </c>
      <c r="D34" s="265" t="b">
        <v>0</v>
      </c>
      <c r="E34" s="81">
        <f>0.85*E33</f>
        <v>8.5</v>
      </c>
      <c r="F34" s="184">
        <f t="shared" si="3"/>
        <v>0</v>
      </c>
      <c r="G34" s="483"/>
      <c r="H34" t="str">
        <f>IF(J35&gt;1,"Entry error, select one answer","")</f>
        <v/>
      </c>
      <c r="I34">
        <f t="shared" ref="I34:I35" si="6">IF(D34,1,0)</f>
        <v>0</v>
      </c>
    </row>
    <row r="35" spans="1:18" x14ac:dyDescent="0.35">
      <c r="A35" s="267"/>
      <c r="B35" s="246"/>
      <c r="C35" s="364" t="str">
        <f>VLOOKUP(ship_type,recgoodhomeport,4,FALSE)</f>
        <v>-</v>
      </c>
      <c r="D35" s="265" t="b">
        <v>0</v>
      </c>
      <c r="E35" s="81">
        <f>E33*0.75</f>
        <v>7.5</v>
      </c>
      <c r="F35" s="184">
        <f t="shared" si="3"/>
        <v>0</v>
      </c>
      <c r="G35" s="483"/>
      <c r="I35">
        <f t="shared" si="6"/>
        <v>0</v>
      </c>
      <c r="J35">
        <f>SUM(I33:I35)</f>
        <v>0</v>
      </c>
    </row>
    <row r="36" spans="1:18" x14ac:dyDescent="0.35">
      <c r="A36" s="160" t="s">
        <v>270</v>
      </c>
      <c r="B36" s="195" t="s">
        <v>167</v>
      </c>
      <c r="C36" s="365">
        <f>VLOOKUP(ship_type,recbesthomeport,5,FALSE)</f>
        <v>4</v>
      </c>
      <c r="D36" s="265" t="b">
        <v>0</v>
      </c>
      <c r="E36" s="81">
        <v>10</v>
      </c>
      <c r="F36" s="184">
        <f t="shared" si="3"/>
        <v>0</v>
      </c>
      <c r="G36" s="483"/>
      <c r="I36">
        <f>IF(D36,1,0)</f>
        <v>0</v>
      </c>
    </row>
    <row r="37" spans="1:18" x14ac:dyDescent="0.35">
      <c r="A37" s="267"/>
      <c r="B37" s="170"/>
      <c r="C37" s="365">
        <f>VLOOKUP(ship_type,recbetterhomeport,5,FALSE)</f>
        <v>2</v>
      </c>
      <c r="D37" s="265" t="b">
        <v>0</v>
      </c>
      <c r="E37" s="81">
        <f>0.85*E36</f>
        <v>8.5</v>
      </c>
      <c r="F37" s="184">
        <f t="shared" si="3"/>
        <v>0</v>
      </c>
      <c r="G37" s="483"/>
      <c r="H37" t="str">
        <f>IF(J38&gt;1,"Entry error, select one answer","")</f>
        <v/>
      </c>
      <c r="I37">
        <f t="shared" ref="I37:I38" si="7">IF(D37,1,0)</f>
        <v>0</v>
      </c>
    </row>
    <row r="38" spans="1:18" x14ac:dyDescent="0.35">
      <c r="A38" s="267"/>
      <c r="B38" s="246"/>
      <c r="C38" s="364">
        <f>VLOOKUP(ship_type,recgoodhomeport,5,FALSE)</f>
        <v>1</v>
      </c>
      <c r="D38" s="265" t="b">
        <v>0</v>
      </c>
      <c r="E38" s="81">
        <f>E36*0.75</f>
        <v>7.5</v>
      </c>
      <c r="F38" s="184">
        <f t="shared" si="3"/>
        <v>0</v>
      </c>
      <c r="G38" s="483"/>
      <c r="I38">
        <f t="shared" si="7"/>
        <v>0</v>
      </c>
      <c r="J38">
        <f>SUM(I36:I38)</f>
        <v>0</v>
      </c>
    </row>
    <row r="39" spans="1:18" x14ac:dyDescent="0.35">
      <c r="A39" s="160" t="s">
        <v>271</v>
      </c>
      <c r="B39" s="195" t="s">
        <v>168</v>
      </c>
      <c r="C39" s="365">
        <f>VLOOKUP(ship_type,recbesthomeport,6,FALSE)</f>
        <v>3</v>
      </c>
      <c r="D39" s="265" t="b">
        <v>0</v>
      </c>
      <c r="E39" s="81">
        <v>10</v>
      </c>
      <c r="F39" s="184">
        <f t="shared" si="3"/>
        <v>0</v>
      </c>
      <c r="G39" s="483"/>
      <c r="I39">
        <f>IF(D39,1,0)</f>
        <v>0</v>
      </c>
    </row>
    <row r="40" spans="1:18" x14ac:dyDescent="0.35">
      <c r="A40" s="267"/>
      <c r="B40" s="173"/>
      <c r="C40" s="365">
        <f>VLOOKUP(ship_type,recbetterhomeport,6,FALSE)</f>
        <v>2</v>
      </c>
      <c r="D40" s="265" t="b">
        <v>0</v>
      </c>
      <c r="E40" s="81">
        <f>0.85*E39</f>
        <v>8.5</v>
      </c>
      <c r="F40" s="184">
        <f t="shared" si="3"/>
        <v>0</v>
      </c>
      <c r="G40" s="483"/>
      <c r="H40" t="str">
        <f>IF(J41&gt;1,"Entry error, select one answer","")</f>
        <v/>
      </c>
      <c r="I40">
        <f t="shared" ref="I40:I41" si="8">IF(D40,1,0)</f>
        <v>0</v>
      </c>
    </row>
    <row r="41" spans="1:18" ht="19.5" customHeight="1" x14ac:dyDescent="0.35">
      <c r="A41" s="267"/>
      <c r="B41" s="246"/>
      <c r="C41" s="364">
        <f>VLOOKUP(ship_type,recgoodhomeport,6,FALSE)</f>
        <v>1</v>
      </c>
      <c r="D41" s="265" t="b">
        <v>0</v>
      </c>
      <c r="E41" s="81">
        <f>E39*0.75</f>
        <v>7.5</v>
      </c>
      <c r="F41" s="184">
        <f t="shared" si="3"/>
        <v>0</v>
      </c>
      <c r="G41" s="483"/>
      <c r="I41">
        <f t="shared" si="8"/>
        <v>0</v>
      </c>
      <c r="J41">
        <f>SUM(I39:I41)</f>
        <v>0</v>
      </c>
    </row>
    <row r="42" spans="1:18" ht="45.75" customHeight="1" x14ac:dyDescent="0.35">
      <c r="A42" s="160" t="s">
        <v>272</v>
      </c>
      <c r="B42" s="608" t="s">
        <v>174</v>
      </c>
      <c r="C42" s="609"/>
      <c r="D42" s="264" t="b">
        <v>0</v>
      </c>
      <c r="E42" s="81">
        <v>8</v>
      </c>
      <c r="F42" s="184">
        <f t="shared" ref="F42:F43" si="9">IF(D42,E42,0)</f>
        <v>0</v>
      </c>
      <c r="G42" s="483"/>
      <c r="H42" s="174"/>
      <c r="I42" s="174"/>
      <c r="J42" s="174"/>
      <c r="K42" s="174"/>
      <c r="L42" s="174"/>
      <c r="M42" s="174"/>
      <c r="N42" s="174"/>
      <c r="O42" s="174"/>
      <c r="P42" s="174"/>
      <c r="Q42" s="174"/>
      <c r="R42" s="174"/>
    </row>
    <row r="43" spans="1:18" ht="45.75" customHeight="1" thickBot="1" x14ac:dyDescent="0.4">
      <c r="A43" s="160" t="s">
        <v>273</v>
      </c>
      <c r="B43" s="608" t="s">
        <v>258</v>
      </c>
      <c r="C43" s="609"/>
      <c r="D43" s="264" t="b">
        <v>0</v>
      </c>
      <c r="E43" s="81">
        <v>8</v>
      </c>
      <c r="F43" s="184">
        <f t="shared" si="9"/>
        <v>0</v>
      </c>
      <c r="G43" s="329"/>
      <c r="H43" s="174"/>
      <c r="I43" s="174"/>
      <c r="J43" s="174"/>
      <c r="K43" s="174"/>
      <c r="L43" s="174"/>
      <c r="M43" s="174"/>
      <c r="N43" s="174"/>
      <c r="O43" s="174"/>
      <c r="P43" s="174"/>
      <c r="Q43" s="174"/>
      <c r="R43" s="174"/>
    </row>
    <row r="44" spans="1:18" ht="19.5" customHeight="1" thickTop="1" thickBot="1" x14ac:dyDescent="0.4">
      <c r="A44" s="390"/>
      <c r="B44" s="391"/>
      <c r="C44" s="391"/>
      <c r="D44" s="393"/>
      <c r="E44" s="81"/>
      <c r="G44" s="473"/>
      <c r="H44" s="174"/>
      <c r="I44" s="174"/>
      <c r="J44" s="174"/>
      <c r="K44" s="174"/>
      <c r="L44" s="174"/>
      <c r="M44" s="174"/>
      <c r="N44" s="174"/>
      <c r="O44" s="174"/>
      <c r="P44" s="174"/>
      <c r="Q44" s="174"/>
      <c r="R44" s="174"/>
    </row>
    <row r="45" spans="1:18" ht="28.5" customHeight="1" thickBot="1" x14ac:dyDescent="0.4">
      <c r="A45" s="160"/>
      <c r="B45" s="613" t="s">
        <v>277</v>
      </c>
      <c r="C45" s="613"/>
      <c r="D45" s="252">
        <f>F45/E45</f>
        <v>0</v>
      </c>
      <c r="E45" s="184">
        <f>IF(shiptypenum&lt;5,SUM(#REF!+#REF!+#REF!+#REF!+#REF!+E42+E39+E36+E33+E30+E27),IF(shiptypenum=8,SUM(E42+E39+E36+E33+E30+E27),SUM(E43+E42+E39+E36+E33+E30+E27)))</f>
        <v>66</v>
      </c>
      <c r="F45" s="184">
        <f>SUM(F27:F43)</f>
        <v>0</v>
      </c>
      <c r="G45" s="329"/>
      <c r="H45" s="174"/>
      <c r="I45" s="229"/>
      <c r="J45" s="229"/>
      <c r="K45" s="174"/>
      <c r="L45" s="174"/>
      <c r="M45" s="174"/>
      <c r="N45" s="174"/>
      <c r="O45" s="174"/>
      <c r="P45" s="174"/>
      <c r="Q45" s="174"/>
      <c r="R45" s="174"/>
    </row>
    <row r="46" spans="1:18" ht="18" customHeight="1" thickBot="1" x14ac:dyDescent="0.4">
      <c r="A46" s="160"/>
      <c r="B46" s="230"/>
      <c r="C46" s="230"/>
      <c r="D46" s="263"/>
      <c r="E46" s="262"/>
      <c r="G46" s="473"/>
      <c r="H46" s="174"/>
      <c r="I46" s="174"/>
      <c r="J46" s="174"/>
      <c r="K46" s="174"/>
      <c r="L46" s="174"/>
      <c r="M46" s="174"/>
      <c r="N46" s="174"/>
      <c r="O46" s="174"/>
      <c r="P46" s="174"/>
      <c r="Q46" s="174"/>
      <c r="R46" s="174"/>
    </row>
    <row r="47" spans="1:18" ht="87" customHeight="1" thickTop="1" thickBot="1" x14ac:dyDescent="0.4">
      <c r="A47" s="257" t="s">
        <v>173</v>
      </c>
      <c r="B47" s="610" t="s">
        <v>280</v>
      </c>
      <c r="C47" s="611"/>
      <c r="D47" s="462" t="s">
        <v>26</v>
      </c>
      <c r="E47" s="189" t="s">
        <v>24</v>
      </c>
      <c r="F47" s="189" t="s">
        <v>25</v>
      </c>
      <c r="G47" s="483"/>
    </row>
    <row r="48" spans="1:18" ht="78.75" customHeight="1" thickTop="1" thickBot="1" x14ac:dyDescent="0.4">
      <c r="A48" s="160"/>
      <c r="B48" s="595" t="s">
        <v>169</v>
      </c>
      <c r="C48" s="596"/>
      <c r="D48" s="461" t="s">
        <v>269</v>
      </c>
      <c r="E48" s="165"/>
      <c r="G48" s="466"/>
    </row>
    <row r="49" spans="1:18" x14ac:dyDescent="0.35">
      <c r="A49" s="160" t="s">
        <v>274</v>
      </c>
      <c r="B49" s="234" t="s">
        <v>416</v>
      </c>
      <c r="C49" s="363">
        <f>VLOOKUP(ship_type,recbestshipyard,2,FALSE)</f>
        <v>2</v>
      </c>
      <c r="D49" s="265" t="b">
        <v>0</v>
      </c>
      <c r="E49" s="81">
        <v>10</v>
      </c>
      <c r="F49" s="184">
        <f>IF(D49,IF(C49="-",0,E49),0)</f>
        <v>0</v>
      </c>
      <c r="G49" s="483"/>
      <c r="I49">
        <f>IF(D49,1,0)</f>
        <v>0</v>
      </c>
    </row>
    <row r="50" spans="1:18" x14ac:dyDescent="0.35">
      <c r="A50" s="160"/>
      <c r="B50" s="58"/>
      <c r="C50" s="363">
        <f>VLOOKUP(ship_type,recbettershipyard,2,FALSE)</f>
        <v>1</v>
      </c>
      <c r="D50" s="265" t="b">
        <v>0</v>
      </c>
      <c r="E50" s="81">
        <f>0.85*E49</f>
        <v>8.5</v>
      </c>
      <c r="F50" s="184">
        <f t="shared" ref="F50:F63" si="10">IF(D50,IF(C50="-",0,E50),0)</f>
        <v>0</v>
      </c>
      <c r="G50" s="483"/>
      <c r="H50" t="str">
        <f>IF(J51&gt;1,"Entry error, select one answer","")</f>
        <v/>
      </c>
      <c r="I50">
        <f t="shared" ref="I50:I51" si="11">IF(D50,1,0)</f>
        <v>0</v>
      </c>
    </row>
    <row r="51" spans="1:18" x14ac:dyDescent="0.35">
      <c r="A51" s="160"/>
      <c r="B51" s="256"/>
      <c r="C51" s="363" t="str">
        <f>VLOOKUP(ship_type,recgoodshipyard,2,FALSE)</f>
        <v>-</v>
      </c>
      <c r="D51" s="265" t="b">
        <v>0</v>
      </c>
      <c r="E51" s="81">
        <f>E49*0.75</f>
        <v>7.5</v>
      </c>
      <c r="F51" s="184">
        <f t="shared" si="10"/>
        <v>0</v>
      </c>
      <c r="G51" s="483"/>
      <c r="I51">
        <f t="shared" si="11"/>
        <v>0</v>
      </c>
      <c r="J51">
        <f>SUM(I49:I51)</f>
        <v>0</v>
      </c>
    </row>
    <row r="52" spans="1:18" x14ac:dyDescent="0.35">
      <c r="A52" s="160" t="s">
        <v>275</v>
      </c>
      <c r="B52" s="195" t="s">
        <v>165</v>
      </c>
      <c r="C52" s="366">
        <f>VLOOKUP(ship_type,recbestshipyard,3,FALSE)</f>
        <v>2</v>
      </c>
      <c r="D52" s="265" t="b">
        <v>0</v>
      </c>
      <c r="E52" s="81">
        <v>10</v>
      </c>
      <c r="F52" s="184">
        <f t="shared" si="10"/>
        <v>0</v>
      </c>
      <c r="G52" s="483"/>
      <c r="I52">
        <f>IF(D52,1,0)</f>
        <v>0</v>
      </c>
    </row>
    <row r="53" spans="1:18" x14ac:dyDescent="0.35">
      <c r="A53" s="169"/>
      <c r="B53" s="170"/>
      <c r="C53" s="365" t="str">
        <f>VLOOKUP(ship_type,recbettershipyard,3,FALSE)</f>
        <v>-</v>
      </c>
      <c r="D53" s="265" t="b">
        <v>0</v>
      </c>
      <c r="E53" s="81">
        <f>0.85*E52</f>
        <v>8.5</v>
      </c>
      <c r="F53" s="184">
        <f t="shared" si="10"/>
        <v>0</v>
      </c>
      <c r="G53" s="483"/>
      <c r="H53" t="str">
        <f>IF(J54&gt;1,"Entry error, select one answer","")</f>
        <v/>
      </c>
      <c r="I53">
        <f t="shared" ref="I53:I54" si="12">IF(D53,1,0)</f>
        <v>0</v>
      </c>
    </row>
    <row r="54" spans="1:18" x14ac:dyDescent="0.35">
      <c r="A54" s="169"/>
      <c r="B54" s="246"/>
      <c r="C54" s="363" t="str">
        <f>VLOOKUP(ship_type,recgoodshipyard,3,FALSE)</f>
        <v>-</v>
      </c>
      <c r="D54" s="265" t="b">
        <v>0</v>
      </c>
      <c r="E54" s="81">
        <f>E52*0.75</f>
        <v>7.5</v>
      </c>
      <c r="F54" s="184">
        <f t="shared" si="10"/>
        <v>0</v>
      </c>
      <c r="G54" s="483"/>
      <c r="I54">
        <f t="shared" si="12"/>
        <v>0</v>
      </c>
      <c r="J54">
        <f>SUM(I52:I54)</f>
        <v>0</v>
      </c>
    </row>
    <row r="55" spans="1:18" x14ac:dyDescent="0.35">
      <c r="A55" s="160" t="s">
        <v>281</v>
      </c>
      <c r="B55" s="195" t="s">
        <v>166</v>
      </c>
      <c r="C55" s="366">
        <f>VLOOKUP(ship_type,recbestshipyard,4,FALSE)</f>
        <v>1</v>
      </c>
      <c r="D55" s="265" t="b">
        <v>0</v>
      </c>
      <c r="E55" s="81">
        <v>10</v>
      </c>
      <c r="F55" s="184">
        <f t="shared" si="10"/>
        <v>0</v>
      </c>
      <c r="G55" s="483"/>
      <c r="I55">
        <f>IF(D55,1,0)</f>
        <v>0</v>
      </c>
    </row>
    <row r="56" spans="1:18" x14ac:dyDescent="0.35">
      <c r="A56" s="267"/>
      <c r="B56" s="170"/>
      <c r="C56" s="365" t="str">
        <f>VLOOKUP(ship_type,recbettershipyard,4,FALSE)</f>
        <v>-</v>
      </c>
      <c r="D56" s="265" t="b">
        <v>0</v>
      </c>
      <c r="E56" s="81">
        <f>0.85*E55</f>
        <v>8.5</v>
      </c>
      <c r="F56" s="184">
        <f t="shared" si="10"/>
        <v>0</v>
      </c>
      <c r="G56" s="483"/>
      <c r="H56" t="str">
        <f>IF(J57&gt;1,"Entry error, select one answer","")</f>
        <v/>
      </c>
      <c r="I56">
        <f t="shared" ref="I56:I57" si="13">IF(D56,1,0)</f>
        <v>0</v>
      </c>
    </row>
    <row r="57" spans="1:18" x14ac:dyDescent="0.35">
      <c r="A57" s="267"/>
      <c r="B57" s="246"/>
      <c r="C57" s="365" t="str">
        <f>VLOOKUP(ship_type,recgoodshipyard,4,FALSE)</f>
        <v>-</v>
      </c>
      <c r="D57" s="265" t="b">
        <v>0</v>
      </c>
      <c r="E57" s="81">
        <f>E55*0.75</f>
        <v>7.5</v>
      </c>
      <c r="F57" s="184">
        <f t="shared" si="10"/>
        <v>0</v>
      </c>
      <c r="G57" s="483"/>
      <c r="I57">
        <f t="shared" si="13"/>
        <v>0</v>
      </c>
      <c r="J57">
        <f>SUM(I55:I57)</f>
        <v>0</v>
      </c>
    </row>
    <row r="58" spans="1:18" x14ac:dyDescent="0.35">
      <c r="A58" s="160" t="s">
        <v>283</v>
      </c>
      <c r="B58" s="195" t="s">
        <v>167</v>
      </c>
      <c r="C58" s="366">
        <f>VLOOKUP(ship_type,recbestshipyard,5,FALSE)</f>
        <v>1</v>
      </c>
      <c r="D58" s="265" t="b">
        <v>0</v>
      </c>
      <c r="E58" s="81">
        <v>10</v>
      </c>
      <c r="F58" s="184">
        <f t="shared" si="10"/>
        <v>0</v>
      </c>
      <c r="G58" s="483"/>
      <c r="I58">
        <f>IF(D58,1,0)</f>
        <v>0</v>
      </c>
    </row>
    <row r="59" spans="1:18" x14ac:dyDescent="0.35">
      <c r="A59" s="267"/>
      <c r="B59" s="170"/>
      <c r="C59" s="365" t="str">
        <f>VLOOKUP(ship_type,recbettershipyard,5,FALSE)</f>
        <v>-</v>
      </c>
      <c r="D59" s="265" t="b">
        <v>0</v>
      </c>
      <c r="E59" s="81">
        <f>0.85*E58</f>
        <v>8.5</v>
      </c>
      <c r="F59" s="184">
        <f t="shared" si="10"/>
        <v>0</v>
      </c>
      <c r="G59" s="483"/>
      <c r="H59" t="str">
        <f>IF(J60&gt;1,"Entry error, select one answer","")</f>
        <v/>
      </c>
      <c r="I59">
        <f t="shared" ref="I59:I60" si="14">IF(D59,1,0)</f>
        <v>0</v>
      </c>
    </row>
    <row r="60" spans="1:18" x14ac:dyDescent="0.35">
      <c r="A60" s="267"/>
      <c r="B60" s="234"/>
      <c r="C60" s="364" t="str">
        <f>VLOOKUP(ship_type,recgoodshipyard,5,FALSE)</f>
        <v>-</v>
      </c>
      <c r="D60" s="265" t="b">
        <v>0</v>
      </c>
      <c r="E60" s="81">
        <f>E58*0.75</f>
        <v>7.5</v>
      </c>
      <c r="F60" s="184">
        <f t="shared" si="10"/>
        <v>0</v>
      </c>
      <c r="G60" s="483"/>
      <c r="I60">
        <f t="shared" si="14"/>
        <v>0</v>
      </c>
      <c r="J60">
        <f>SUM(I58:I60)</f>
        <v>0</v>
      </c>
    </row>
    <row r="61" spans="1:18" x14ac:dyDescent="0.35">
      <c r="A61" s="160" t="s">
        <v>284</v>
      </c>
      <c r="B61" s="270" t="s">
        <v>168</v>
      </c>
      <c r="C61" s="365">
        <f>VLOOKUP(ship_type,recbestshipyard,6,FALSE)</f>
        <v>6</v>
      </c>
      <c r="D61" s="265" t="b">
        <v>0</v>
      </c>
      <c r="E61" s="81">
        <v>10</v>
      </c>
      <c r="F61" s="184">
        <f t="shared" si="10"/>
        <v>0</v>
      </c>
      <c r="G61" s="483"/>
      <c r="I61">
        <f>IF(D61,1,0)</f>
        <v>0</v>
      </c>
    </row>
    <row r="62" spans="1:18" x14ac:dyDescent="0.35">
      <c r="A62" s="267"/>
      <c r="B62" s="173"/>
      <c r="C62" s="365">
        <f>VLOOKUP(ship_type,recbettershipyard,6,FALSE)</f>
        <v>4</v>
      </c>
      <c r="D62" s="265" t="b">
        <v>0</v>
      </c>
      <c r="E62" s="81">
        <f>0.85*E61</f>
        <v>8.5</v>
      </c>
      <c r="F62" s="184">
        <f t="shared" si="10"/>
        <v>0</v>
      </c>
      <c r="G62" s="483"/>
      <c r="H62" t="str">
        <f>IF(J63&gt;1,"Entry error, select one answer","")</f>
        <v/>
      </c>
      <c r="I62">
        <f t="shared" ref="I62:I63" si="15">IF(D62,1,0)</f>
        <v>0</v>
      </c>
    </row>
    <row r="63" spans="1:18" x14ac:dyDescent="0.35">
      <c r="A63" s="267"/>
      <c r="B63" s="246"/>
      <c r="C63" s="364">
        <f>VLOOKUP(ship_type,recgoodshipyard,6,FALSE)</f>
        <v>2</v>
      </c>
      <c r="D63" s="265" t="b">
        <v>0</v>
      </c>
      <c r="E63" s="81">
        <f>E61*0.75</f>
        <v>7.5</v>
      </c>
      <c r="F63" s="184">
        <f t="shared" si="10"/>
        <v>0</v>
      </c>
      <c r="G63" s="483"/>
      <c r="I63">
        <f t="shared" si="15"/>
        <v>0</v>
      </c>
      <c r="J63">
        <f>SUM(I61:I63)</f>
        <v>0</v>
      </c>
    </row>
    <row r="64" spans="1:18" ht="45.75" customHeight="1" x14ac:dyDescent="0.35">
      <c r="A64" s="160" t="s">
        <v>285</v>
      </c>
      <c r="B64" s="616" t="s">
        <v>264</v>
      </c>
      <c r="C64" s="617"/>
      <c r="D64" s="264" t="b">
        <v>0</v>
      </c>
      <c r="E64" s="81">
        <v>8</v>
      </c>
      <c r="F64" s="184">
        <f t="shared" ref="F64:F65" si="16">IF(D64,E64,0)</f>
        <v>0</v>
      </c>
      <c r="G64" s="483"/>
      <c r="H64" s="174"/>
      <c r="I64" s="174"/>
      <c r="J64" s="174"/>
      <c r="K64" s="174"/>
      <c r="L64" s="174"/>
      <c r="M64" s="174"/>
      <c r="N64" s="174"/>
      <c r="O64" s="174"/>
      <c r="P64" s="174"/>
      <c r="Q64" s="174"/>
      <c r="R64" s="174"/>
    </row>
    <row r="65" spans="1:18" ht="45.75" customHeight="1" thickBot="1" x14ac:dyDescent="0.4">
      <c r="A65" s="160" t="s">
        <v>286</v>
      </c>
      <c r="B65" s="614" t="s">
        <v>258</v>
      </c>
      <c r="C65" s="615"/>
      <c r="D65" s="264" t="b">
        <v>0</v>
      </c>
      <c r="E65" s="81">
        <v>8</v>
      </c>
      <c r="F65" s="184">
        <f t="shared" si="16"/>
        <v>0</v>
      </c>
      <c r="G65" s="483"/>
      <c r="H65" s="174"/>
      <c r="I65" s="174"/>
      <c r="J65" s="174"/>
      <c r="K65" s="174"/>
      <c r="L65" s="174"/>
      <c r="M65" s="174"/>
      <c r="N65" s="174"/>
      <c r="O65" s="174"/>
      <c r="P65" s="174"/>
      <c r="Q65" s="174"/>
      <c r="R65" s="174"/>
    </row>
    <row r="66" spans="1:18" ht="22.5" customHeight="1" thickTop="1" thickBot="1" x14ac:dyDescent="0.4">
      <c r="A66" s="269"/>
      <c r="B66" s="391"/>
      <c r="C66" s="391"/>
      <c r="D66" s="394"/>
      <c r="E66" s="25"/>
      <c r="G66" s="182"/>
      <c r="H66" s="174"/>
      <c r="I66" s="174"/>
      <c r="J66" s="174"/>
      <c r="K66" s="174"/>
      <c r="L66" s="174"/>
      <c r="M66" s="174"/>
      <c r="N66" s="174"/>
      <c r="O66" s="174"/>
      <c r="P66" s="174"/>
      <c r="Q66" s="174"/>
      <c r="R66" s="174"/>
    </row>
    <row r="67" spans="1:18" ht="28.5" customHeight="1" thickBot="1" x14ac:dyDescent="0.4">
      <c r="A67" s="235"/>
      <c r="B67" s="613" t="s">
        <v>277</v>
      </c>
      <c r="C67" s="613"/>
      <c r="D67" s="252">
        <f>F67/E67</f>
        <v>0</v>
      </c>
      <c r="E67" s="81">
        <f>IF(shiptypenum&lt;5,SUM(#REF!+#REF!+#REF!+#REF!+E65+E64+E61+E58+E55+E52+E49),IF(shiptypenum=8,SUM(E65+E64+E61+E58+E55+E52+E49),SUM(E65+E64+E61+E58+E55+E52+E49)))</f>
        <v>66</v>
      </c>
      <c r="F67" s="184">
        <f>SUM(F49:F65)</f>
        <v>0</v>
      </c>
      <c r="H67" s="174"/>
      <c r="I67" s="229"/>
      <c r="J67" s="229"/>
      <c r="K67" s="174"/>
      <c r="L67" s="174"/>
      <c r="M67" s="174"/>
      <c r="N67" s="174"/>
      <c r="O67" s="174"/>
      <c r="P67" s="174"/>
      <c r="Q67" s="174"/>
      <c r="R67" s="174"/>
    </row>
    <row r="68" spans="1:18" ht="15.75" customHeight="1" thickBot="1" x14ac:dyDescent="0.4">
      <c r="A68" s="235"/>
      <c r="B68" s="502"/>
      <c r="C68" s="502"/>
      <c r="D68" s="511"/>
      <c r="E68" s="81"/>
      <c r="H68" s="174"/>
      <c r="I68" s="501"/>
      <c r="J68" s="501"/>
      <c r="K68" s="174"/>
      <c r="L68" s="174"/>
      <c r="M68" s="174"/>
      <c r="N68" s="174"/>
      <c r="O68" s="174"/>
      <c r="P68" s="174"/>
      <c r="Q68" s="174"/>
      <c r="R68" s="174"/>
    </row>
    <row r="69" spans="1:18" ht="90.75" customHeight="1" thickBot="1" x14ac:dyDescent="0.4">
      <c r="A69" s="235"/>
      <c r="B69" s="618" t="s">
        <v>48</v>
      </c>
      <c r="C69" s="619"/>
      <c r="D69" s="510"/>
      <c r="E69" s="262"/>
      <c r="G69" s="182"/>
      <c r="H69" s="174"/>
      <c r="I69" s="174"/>
      <c r="J69" s="174"/>
      <c r="K69" s="174"/>
      <c r="L69" s="174"/>
      <c r="M69" s="174"/>
      <c r="N69" s="174"/>
      <c r="O69" s="174"/>
      <c r="P69" s="174"/>
      <c r="Q69" s="174"/>
      <c r="R69" s="174"/>
    </row>
    <row r="70" spans="1:18" x14ac:dyDescent="0.35">
      <c r="B70" s="1"/>
    </row>
    <row r="71" spans="1:18" x14ac:dyDescent="0.35">
      <c r="B71" s="612" t="s">
        <v>282</v>
      </c>
      <c r="C71" s="612"/>
      <c r="D71" s="496">
        <f>D67+D45+D23</f>
        <v>0</v>
      </c>
    </row>
  </sheetData>
  <mergeCells count="20">
    <mergeCell ref="B71:C71"/>
    <mergeCell ref="A4:C4"/>
    <mergeCell ref="A5:C5"/>
    <mergeCell ref="B25:C25"/>
    <mergeCell ref="B47:C47"/>
    <mergeCell ref="B45:C45"/>
    <mergeCell ref="B65:C65"/>
    <mergeCell ref="B48:C48"/>
    <mergeCell ref="B64:C64"/>
    <mergeCell ref="B43:C43"/>
    <mergeCell ref="B69:C69"/>
    <mergeCell ref="B23:C23"/>
    <mergeCell ref="B26:C26"/>
    <mergeCell ref="B42:C42"/>
    <mergeCell ref="B67:C67"/>
    <mergeCell ref="A3:B3"/>
    <mergeCell ref="B20:C20"/>
    <mergeCell ref="B21:C21"/>
    <mergeCell ref="B6:C6"/>
    <mergeCell ref="B7:C7"/>
  </mergeCells>
  <phoneticPr fontId="16" type="noConversion"/>
  <conditionalFormatting sqref="H9">
    <cfRule type="expression" dxfId="35" priority="14">
      <formula>J10&gt;1</formula>
    </cfRule>
  </conditionalFormatting>
  <conditionalFormatting sqref="H12">
    <cfRule type="expression" dxfId="34" priority="13">
      <formula>J13&gt;1</formula>
    </cfRule>
  </conditionalFormatting>
  <conditionalFormatting sqref="H15">
    <cfRule type="expression" dxfId="33" priority="12">
      <formula>J16&gt;1</formula>
    </cfRule>
  </conditionalFormatting>
  <conditionalFormatting sqref="H18">
    <cfRule type="expression" dxfId="32" priority="11">
      <formula>J19&gt;1</formula>
    </cfRule>
  </conditionalFormatting>
  <conditionalFormatting sqref="H28">
    <cfRule type="expression" dxfId="31" priority="10">
      <formula>J29&gt;1</formula>
    </cfRule>
  </conditionalFormatting>
  <conditionalFormatting sqref="H31">
    <cfRule type="expression" dxfId="30" priority="9">
      <formula>J32&gt;1</formula>
    </cfRule>
  </conditionalFormatting>
  <conditionalFormatting sqref="H34">
    <cfRule type="expression" dxfId="29" priority="8">
      <formula>J35&gt;1</formula>
    </cfRule>
  </conditionalFormatting>
  <conditionalFormatting sqref="H37">
    <cfRule type="expression" dxfId="28" priority="7">
      <formula>J38&gt;1</formula>
    </cfRule>
  </conditionalFormatting>
  <conditionalFormatting sqref="H40">
    <cfRule type="expression" dxfId="27" priority="6">
      <formula>J41&gt;1</formula>
    </cfRule>
  </conditionalFormatting>
  <conditionalFormatting sqref="H50">
    <cfRule type="expression" dxfId="26" priority="5">
      <formula>J51&gt;1</formula>
    </cfRule>
  </conditionalFormatting>
  <conditionalFormatting sqref="H53">
    <cfRule type="expression" dxfId="25" priority="4">
      <formula>J54&gt;1</formula>
    </cfRule>
  </conditionalFormatting>
  <conditionalFormatting sqref="H56">
    <cfRule type="expression" dxfId="24" priority="3">
      <formula>J57&gt;1</formula>
    </cfRule>
  </conditionalFormatting>
  <conditionalFormatting sqref="H59">
    <cfRule type="expression" dxfId="23" priority="2">
      <formula>J60&gt;1</formula>
    </cfRule>
  </conditionalFormatting>
  <conditionalFormatting sqref="H62">
    <cfRule type="expression" dxfId="22" priority="1">
      <formula>J63&gt;1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7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7" r:id="rId15" name="Check Box 4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35888" r:id="rId16" name="Check Box 4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35894" r:id="rId17" name="Check Box 54">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5" r:id="rId18" name="Check Box 55">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896" r:id="rId19" name="Check Box 56">
              <controlPr defaultSize="0" autoFill="0" autoLine="0" autoPict="0">
                <anchor moveWithCells="1">
                  <from>
                    <xdr:col>3</xdr:col>
                    <xdr:colOff>419100</xdr:colOff>
                    <xdr:row>32</xdr:row>
                    <xdr:rowOff>6350</xdr:rowOff>
                  </from>
                  <to>
                    <xdr:col>3</xdr:col>
                    <xdr:colOff>609600</xdr:colOff>
                    <xdr:row>33</xdr:row>
                    <xdr:rowOff>12700</xdr:rowOff>
                  </to>
                </anchor>
              </controlPr>
            </control>
          </mc:Choice>
        </mc:AlternateContent>
        <mc:AlternateContent xmlns:mc="http://schemas.openxmlformats.org/markup-compatibility/2006">
          <mc:Choice Requires="x14">
            <control shapeId="35897" r:id="rId20" name="Check Box 57">
              <controlPr defaultSize="0" autoFill="0" autoLine="0" autoPict="0">
                <anchor moveWithCells="1">
                  <from>
                    <xdr:col>3</xdr:col>
                    <xdr:colOff>419100</xdr:colOff>
                    <xdr:row>33</xdr:row>
                    <xdr:rowOff>6350</xdr:rowOff>
                  </from>
                  <to>
                    <xdr:col>3</xdr:col>
                    <xdr:colOff>609600</xdr:colOff>
                    <xdr:row>34</xdr:row>
                    <xdr:rowOff>12700</xdr:rowOff>
                  </to>
                </anchor>
              </controlPr>
            </control>
          </mc:Choice>
        </mc:AlternateContent>
        <mc:AlternateContent xmlns:mc="http://schemas.openxmlformats.org/markup-compatibility/2006">
          <mc:Choice Requires="x14">
            <control shapeId="35898" r:id="rId21" name="Check Box 58">
              <controlPr defaultSize="0" autoFill="0" autoLine="0" autoPict="0">
                <anchor moveWithCells="1">
                  <from>
                    <xdr:col>3</xdr:col>
                    <xdr:colOff>419100</xdr:colOff>
                    <xdr:row>34</xdr:row>
                    <xdr:rowOff>6350</xdr:rowOff>
                  </from>
                  <to>
                    <xdr:col>3</xdr:col>
                    <xdr:colOff>609600</xdr:colOff>
                    <xdr:row>35</xdr:row>
                    <xdr:rowOff>12700</xdr:rowOff>
                  </to>
                </anchor>
              </controlPr>
            </control>
          </mc:Choice>
        </mc:AlternateContent>
        <mc:AlternateContent xmlns:mc="http://schemas.openxmlformats.org/markup-compatibility/2006">
          <mc:Choice Requires="x14">
            <control shapeId="35899" r:id="rId22" name="Check Box 59">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900" r:id="rId23" name="Check Box 60">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901" r:id="rId24" name="Check Box 61">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902" r:id="rId25" name="Check Box 62">
              <controlPr defaultSize="0" autoFill="0" autoLine="0" autoPict="0">
                <anchor moveWithCells="1">
                  <from>
                    <xdr:col>3</xdr:col>
                    <xdr:colOff>419100</xdr:colOff>
                    <xdr:row>38</xdr:row>
                    <xdr:rowOff>6350</xdr:rowOff>
                  </from>
                  <to>
                    <xdr:col>3</xdr:col>
                    <xdr:colOff>609600</xdr:colOff>
                    <xdr:row>39</xdr:row>
                    <xdr:rowOff>19050</xdr:rowOff>
                  </to>
                </anchor>
              </controlPr>
            </control>
          </mc:Choice>
        </mc:AlternateContent>
        <mc:AlternateContent xmlns:mc="http://schemas.openxmlformats.org/markup-compatibility/2006">
          <mc:Choice Requires="x14">
            <control shapeId="35903" r:id="rId26" name="Check Box 63">
              <controlPr defaultSize="0" autoFill="0" autoLine="0" autoPict="0">
                <anchor moveWithCells="1">
                  <from>
                    <xdr:col>3</xdr:col>
                    <xdr:colOff>419100</xdr:colOff>
                    <xdr:row>39</xdr:row>
                    <xdr:rowOff>6350</xdr:rowOff>
                  </from>
                  <to>
                    <xdr:col>3</xdr:col>
                    <xdr:colOff>609600</xdr:colOff>
                    <xdr:row>40</xdr:row>
                    <xdr:rowOff>19050</xdr:rowOff>
                  </to>
                </anchor>
              </controlPr>
            </control>
          </mc:Choice>
        </mc:AlternateContent>
        <mc:AlternateContent xmlns:mc="http://schemas.openxmlformats.org/markup-compatibility/2006">
          <mc:Choice Requires="x14">
            <control shapeId="35904" r:id="rId27" name="Check Box 64">
              <controlPr defaultSize="0" autoFill="0" autoLine="0" autoPict="0">
                <anchor moveWithCells="1">
                  <from>
                    <xdr:col>3</xdr:col>
                    <xdr:colOff>419100</xdr:colOff>
                    <xdr:row>40</xdr:row>
                    <xdr:rowOff>6350</xdr:rowOff>
                  </from>
                  <to>
                    <xdr:col>3</xdr:col>
                    <xdr:colOff>609600</xdr:colOff>
                    <xdr:row>40</xdr:row>
                    <xdr:rowOff>215900</xdr:rowOff>
                  </to>
                </anchor>
              </controlPr>
            </control>
          </mc:Choice>
        </mc:AlternateContent>
        <mc:AlternateContent xmlns:mc="http://schemas.openxmlformats.org/markup-compatibility/2006">
          <mc:Choice Requires="x14">
            <control shapeId="35905" r:id="rId28" name="Check Box 65">
              <controlPr defaultSize="0" autoFill="0" autoLine="0" autoPict="0">
                <anchor moveWithCells="1">
                  <from>
                    <xdr:col>3</xdr:col>
                    <xdr:colOff>457200</xdr:colOff>
                    <xdr:row>41</xdr:row>
                    <xdr:rowOff>127000</xdr:rowOff>
                  </from>
                  <to>
                    <xdr:col>3</xdr:col>
                    <xdr:colOff>717550</xdr:colOff>
                    <xdr:row>41</xdr:row>
                    <xdr:rowOff>323850</xdr:rowOff>
                  </to>
                </anchor>
              </controlPr>
            </control>
          </mc:Choice>
        </mc:AlternateContent>
        <mc:AlternateContent xmlns:mc="http://schemas.openxmlformats.org/markup-compatibility/2006">
          <mc:Choice Requires="x14">
            <control shapeId="35912" r:id="rId29" name="Check Box 72">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35913" r:id="rId30" name="Check Box 7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35919" r:id="rId31" name="Check Box 7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35920" r:id="rId32" name="Check Box 80">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35921" r:id="rId33" name="Check Box 81">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35922" r:id="rId34"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23" r:id="rId35" name="Check Box 8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24" r:id="rId36" name="Check Box 8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25" r:id="rId37" name="Check Box 85">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35926" r:id="rId38" name="Check Box 86">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7" r:id="rId39" name="Check Box 87">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8" r:id="rId40" name="Check Box 88">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9" r:id="rId41" name="Check Box 89">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30" r:id="rId42" name="Check Box 90">
              <controlPr defaultSize="0" autoFill="0" autoLine="0" autoPict="0">
                <anchor moveWithCells="1">
                  <from>
                    <xdr:col>3</xdr:col>
                    <xdr:colOff>419100</xdr:colOff>
                    <xdr:row>63</xdr:row>
                    <xdr:rowOff>0</xdr:rowOff>
                  </from>
                  <to>
                    <xdr:col>3</xdr:col>
                    <xdr:colOff>609600</xdr:colOff>
                    <xdr:row>63</xdr:row>
                    <xdr:rowOff>209550</xdr:rowOff>
                  </to>
                </anchor>
              </controlPr>
            </control>
          </mc:Choice>
        </mc:AlternateContent>
        <mc:AlternateContent xmlns:mc="http://schemas.openxmlformats.org/markup-compatibility/2006">
          <mc:Choice Requires="x14">
            <control shapeId="35931" r:id="rId43" name="Check Box 91">
              <controlPr defaultSize="0" autoFill="0" autoLine="0" autoPict="0">
                <anchor moveWithCells="1">
                  <from>
                    <xdr:col>3</xdr:col>
                    <xdr:colOff>419100</xdr:colOff>
                    <xdr:row>64</xdr:row>
                    <xdr:rowOff>0</xdr:rowOff>
                  </from>
                  <to>
                    <xdr:col>3</xdr:col>
                    <xdr:colOff>609600</xdr:colOff>
                    <xdr:row>64</xdr:row>
                    <xdr:rowOff>209550</xdr:rowOff>
                  </to>
                </anchor>
              </controlPr>
            </control>
          </mc:Choice>
        </mc:AlternateContent>
        <mc:AlternateContent xmlns:mc="http://schemas.openxmlformats.org/markup-compatibility/2006">
          <mc:Choice Requires="x14">
            <control shapeId="35937" r:id="rId44" name="Check Box 97">
              <controlPr defaultSize="0" autoFill="0" autoLine="0" autoPict="0">
                <anchor moveWithCells="1">
                  <from>
                    <xdr:col>3</xdr:col>
                    <xdr:colOff>476250</xdr:colOff>
                    <xdr:row>42</xdr:row>
                    <xdr:rowOff>69850</xdr:rowOff>
                  </from>
                  <to>
                    <xdr:col>3</xdr:col>
                    <xdr:colOff>666750</xdr:colOff>
                    <xdr:row>42</xdr:row>
                    <xdr:rowOff>279400</xdr:rowOff>
                  </to>
                </anchor>
              </controlPr>
            </control>
          </mc:Choice>
        </mc:AlternateContent>
        <mc:AlternateContent xmlns:mc="http://schemas.openxmlformats.org/markup-compatibility/2006">
          <mc:Choice Requires="x14">
            <control shapeId="35938" r:id="rId45"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46"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47" name="Check Box 100">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35941" r:id="rId48" name="Check Box 101">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942" r:id="rId49" name="Check Box 10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35943" r:id="rId50" name="Check Box 10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35944" r:id="rId51" name="Check Box 104">
              <controlPr defaultSize="0" autoFill="0" autoLine="0" autoPict="0">
                <anchor moveWithCells="1">
                  <from>
                    <xdr:col>3</xdr:col>
                    <xdr:colOff>412750</xdr:colOff>
                    <xdr:row>20</xdr:row>
                    <xdr:rowOff>69850</xdr:rowOff>
                  </from>
                  <to>
                    <xdr:col>3</xdr:col>
                    <xdr:colOff>704850</xdr:colOff>
                    <xdr:row>20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Position Descriptions</vt:lpstr>
      <vt:lpstr>Definitions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2015-02-20T18:51:45Z</cp:lastPrinted>
  <dcterms:created xsi:type="dcterms:W3CDTF">2009-01-14T16:12:19Z</dcterms:created>
  <dcterms:modified xsi:type="dcterms:W3CDTF">2021-02-17T16:00:11Z</dcterms:modified>
</cp:coreProperties>
</file>